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356" windowWidth="11340" windowHeight="8580" activeTab="1"/>
  </bookViews>
  <sheets>
    <sheet name="extra data" sheetId="1" r:id="rId1"/>
    <sheet name="Caculations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Daniel Beideck</author>
  </authors>
  <commentList>
    <comment ref="E12" authorId="0">
      <text>
        <r>
          <rPr>
            <b/>
            <sz val="8"/>
            <rFont val="Tahoma"/>
            <family val="0"/>
          </rPr>
          <t>Daniel Beideck:</t>
        </r>
        <r>
          <rPr>
            <sz val="8"/>
            <rFont val="Tahoma"/>
            <family val="0"/>
          </rPr>
          <t xml:space="preserve">
 Double check this as lower # was  making % solar higher????</t>
        </r>
      </text>
    </comment>
    <comment ref="F96" authorId="0">
      <text>
        <r>
          <rPr>
            <b/>
            <sz val="8"/>
            <rFont val="Tahoma"/>
            <family val="0"/>
          </rPr>
          <t>Daniel Beideck:</t>
        </r>
        <r>
          <rPr>
            <sz val="8"/>
            <rFont val="Tahoma"/>
            <family val="0"/>
          </rPr>
          <t xml:space="preserve">
 Double check this as lower # is making % solar higher????</t>
        </r>
      </text>
    </comment>
  </commentList>
</comments>
</file>

<file path=xl/sharedStrings.xml><?xml version="1.0" encoding="utf-8"?>
<sst xmlns="http://schemas.openxmlformats.org/spreadsheetml/2006/main" count="287" uniqueCount="205">
  <si>
    <t>West Facing Glass</t>
  </si>
  <si>
    <t>South Facing Glass</t>
  </si>
  <si>
    <t>Total Glass Area</t>
  </si>
  <si>
    <t>Windows U-value</t>
  </si>
  <si>
    <t>Net area of exterior heated walls</t>
  </si>
  <si>
    <t>Area of heated lower living space concrete wall (in sidehill design)</t>
  </si>
  <si>
    <t xml:space="preserve">Area of insulated flat ceiling  </t>
  </si>
  <si>
    <t>Outside Winter design temperature</t>
  </si>
  <si>
    <t>.15 MPH wind outside</t>
  </si>
  <si>
    <t>Exterior siding</t>
  </si>
  <si>
    <t>Rigid insulation</t>
  </si>
  <si>
    <t>Exterior House wrap</t>
  </si>
  <si>
    <t>Exterior sheathing</t>
  </si>
  <si>
    <t>Fiberglass insulation</t>
  </si>
  <si>
    <t>Vapor barrier</t>
  </si>
  <si>
    <t>Interior wall covering</t>
  </si>
  <si>
    <t>Still air (inside surface of wall)</t>
  </si>
  <si>
    <t>Total wall R-value</t>
  </si>
  <si>
    <t xml:space="preserve">U-value of wall=1/R=         </t>
  </si>
  <si>
    <t>Roof or Ceiling: R-value</t>
  </si>
  <si>
    <t>15 MPH wind outside</t>
  </si>
  <si>
    <t>Roofing material</t>
  </si>
  <si>
    <t>Felt roofing paper</t>
  </si>
  <si>
    <t>Roof sheathing</t>
  </si>
  <si>
    <t>Inside roof or ceiling covering</t>
  </si>
  <si>
    <t>still air (inside suface of roof or ceiling)</t>
  </si>
  <si>
    <t>Total Roof R-value</t>
  </si>
  <si>
    <t>Glass with nightime insulation</t>
  </si>
  <si>
    <t>Glass</t>
  </si>
  <si>
    <t>Dead air space (between glass and insulation device)</t>
  </si>
  <si>
    <t>Insulating device</t>
  </si>
  <si>
    <t>Still air (inside of insulating device)</t>
  </si>
  <si>
    <t>Total R-value with nighttime insuation</t>
  </si>
  <si>
    <t>U-value of nightime insulated glass</t>
  </si>
  <si>
    <t>Lower living-space concrete wall: R-value</t>
  </si>
  <si>
    <t>Exterior rigid insulation</t>
  </si>
  <si>
    <t>Concrete  (inches x .075)</t>
  </si>
  <si>
    <t xml:space="preserve">Total R-value </t>
  </si>
  <si>
    <t>U-value of lower living space</t>
  </si>
  <si>
    <t>Exterior wall Heat loss in Btus/hr*F</t>
  </si>
  <si>
    <t>Roof or Ceiling loss</t>
  </si>
  <si>
    <t>Infiltration Loss using volume method</t>
  </si>
  <si>
    <t>Total heat loss (Btus/Hr*F</t>
  </si>
  <si>
    <t>Daily heat loss (Btu/F*day)</t>
  </si>
  <si>
    <t>Reduction of Heat loss due to night time Glass insulation</t>
  </si>
  <si>
    <t>Hours a night with insulation</t>
  </si>
  <si>
    <t>East, West and South glass as percentage of heated wall area</t>
  </si>
  <si>
    <t>Burlington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</si>
  <si>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</si>
  <si>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</si>
  <si>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</si>
  <si>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</si>
  <si>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</si>
  <si>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</si>
  <si>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</si>
  <si>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</si>
  <si>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</si>
  <si>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</si>
  <si>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</si>
  <si>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</si>
  <si>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Mean Percentage of possible sunshine for </t>
  </si>
  <si>
    <t>State</t>
  </si>
  <si>
    <t>latitude</t>
  </si>
  <si>
    <t>elevation</t>
  </si>
  <si>
    <t>burlington</t>
  </si>
  <si>
    <t>44, 3</t>
  </si>
  <si>
    <t>Average Monthly and Yearly degree days</t>
  </si>
  <si>
    <t>Yearly total</t>
  </si>
  <si>
    <t>Average winter temperature</t>
  </si>
  <si>
    <t>Outside winter design temp</t>
  </si>
  <si>
    <t>Month</t>
  </si>
  <si>
    <t>East</t>
  </si>
  <si>
    <t>South</t>
  </si>
  <si>
    <t>West</t>
  </si>
  <si>
    <t>Degrees 40</t>
  </si>
  <si>
    <t>Degrees 48</t>
  </si>
  <si>
    <t>Febuary</t>
  </si>
  <si>
    <t xml:space="preserve">March </t>
  </si>
  <si>
    <t xml:space="preserve">East </t>
  </si>
  <si>
    <t>Average</t>
  </si>
  <si>
    <t>Days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</si>
  <si>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</si>
  <si>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</si>
  <si>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</si>
  <si>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</si>
  <si>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</si>
  <si>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</si>
  <si>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</si>
  <si>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</si>
  <si>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</si>
  <si>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</si>
  <si>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</si>
  <si>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SHG</t>
  </si>
  <si>
    <t>%sunshine</t>
  </si>
  <si>
    <t>Clearness #</t>
  </si>
  <si>
    <t>Degree days</t>
  </si>
  <si>
    <t>Monthly House load</t>
  </si>
  <si>
    <t>Difference:Not solar supplied</t>
  </si>
  <si>
    <t>Total Purchase of fuel</t>
  </si>
  <si>
    <t xml:space="preserve">% solar </t>
  </si>
  <si>
    <t>oil furnace</t>
  </si>
  <si>
    <t>propane gas furnace</t>
  </si>
  <si>
    <t>Electric heater</t>
  </si>
  <si>
    <t>woodstove</t>
  </si>
  <si>
    <t>Furnace size</t>
  </si>
  <si>
    <t xml:space="preserve">propane gas </t>
  </si>
  <si>
    <t>electric heater</t>
  </si>
  <si>
    <t>Amount</t>
  </si>
  <si>
    <t>Volume of the heated airspace of the house</t>
  </si>
  <si>
    <t>U value</t>
  </si>
  <si>
    <t>Batt Blanket</t>
  </si>
  <si>
    <t>Loose wool</t>
  </si>
  <si>
    <t>Urethane panel</t>
  </si>
  <si>
    <t>Polystyrene foam</t>
  </si>
  <si>
    <t>foam glass</t>
  </si>
  <si>
    <t>insulationg board</t>
  </si>
  <si>
    <t>u-factor (in.-lb)</t>
  </si>
  <si>
    <t>in</t>
  </si>
  <si>
    <t>Vermiculite</t>
  </si>
  <si>
    <t>architectural drawing &amp; LIGHT CONSTRUCTION</t>
  </si>
  <si>
    <t xml:space="preserve">U-value of roof=1/R=         </t>
  </si>
  <si>
    <t>Heat Loss Through Glass (without night-time window insultation)</t>
  </si>
  <si>
    <t>Total solar heat gain</t>
  </si>
  <si>
    <t>Kilowatt-hour</t>
  </si>
  <si>
    <t>Gallons</t>
  </si>
  <si>
    <t>Cords</t>
  </si>
  <si>
    <t>Heat loss with Nighttime Glass insulation</t>
  </si>
  <si>
    <t>Efficiencies</t>
  </si>
  <si>
    <t>Kachadorian's Passive Solar Worksheets</t>
  </si>
  <si>
    <t>Totals</t>
  </si>
  <si>
    <t>Corrected to make more insulation MORE efficient</t>
  </si>
  <si>
    <t>North Facing Glass</t>
  </si>
  <si>
    <t>user input needed</t>
  </si>
  <si>
    <t>East Facing Glass (ft^2)</t>
  </si>
  <si>
    <t>Area with Nighttime insulation (ft^2)</t>
  </si>
  <si>
    <t>per inch</t>
  </si>
  <si>
    <t>fiberglass batt</t>
  </si>
  <si>
    <t>high perf fiberglass batt</t>
  </si>
  <si>
    <t>loose fill fiberglass</t>
  </si>
  <si>
    <t>loose fill rock wool</t>
  </si>
  <si>
    <t>loose fill cellulose</t>
  </si>
  <si>
    <t>perligt or vermiculite</t>
  </si>
  <si>
    <t>expanded polystryene</t>
  </si>
  <si>
    <t xml:space="preserve">extruded polylstryene </t>
  </si>
  <si>
    <t>polyisocyanurate, unfaced</t>
  </si>
  <si>
    <t>Polyisocyanurate, foil faced</t>
  </si>
  <si>
    <t>spray polyurethane foam</t>
  </si>
  <si>
    <t>8" concrete block</t>
  </si>
  <si>
    <t>4" brick</t>
  </si>
  <si>
    <t>1/2" gypsum</t>
  </si>
  <si>
    <t>5/8" Gypsum</t>
  </si>
  <si>
    <t>poured concrete / in</t>
  </si>
  <si>
    <t>1/2" plywood</t>
  </si>
  <si>
    <t>for thickness indicated</t>
  </si>
  <si>
    <t>2.25" solid wood door</t>
  </si>
  <si>
    <t>metal insulated door</t>
  </si>
  <si>
    <t>R-value*</t>
  </si>
  <si>
    <t>* from Yestermorrow class by Robert Riversong</t>
  </si>
  <si>
    <r>
      <t>BTUs/hr*ft^2*</t>
    </r>
    <r>
      <rPr>
        <sz val="10"/>
        <rFont val="Symbol"/>
        <family val="0"/>
      </rPr>
      <t>°</t>
    </r>
    <r>
      <rPr>
        <sz val="10"/>
        <rFont val="Arial"/>
        <family val="0"/>
      </rPr>
      <t>F</t>
    </r>
  </si>
  <si>
    <t>B</t>
  </si>
  <si>
    <t>A</t>
  </si>
  <si>
    <t>Framed wall R-Value</t>
  </si>
  <si>
    <t>C</t>
  </si>
  <si>
    <t>D</t>
  </si>
  <si>
    <r>
      <t>BTUs/hr*</t>
    </r>
    <r>
      <rPr>
        <sz val="10"/>
        <rFont val="Symbol"/>
        <family val="0"/>
      </rPr>
      <t>°</t>
    </r>
    <r>
      <rPr>
        <sz val="9"/>
        <rFont val="Arial"/>
        <family val="0"/>
      </rPr>
      <t>F</t>
    </r>
  </si>
  <si>
    <t>Changed from total wall area to net</t>
  </si>
  <si>
    <t>Corrections or significant changes to original spreadsheet</t>
  </si>
  <si>
    <t>Air exchanges per hour</t>
  </si>
  <si>
    <t>Kachadorian recommends 0.67.  Other sources use 0.25 - 0.5.  HUGE influence on end result!</t>
  </si>
  <si>
    <r>
      <t>BTUs/day*</t>
    </r>
    <r>
      <rPr>
        <sz val="10"/>
        <rFont val="Symbol"/>
        <family val="0"/>
      </rPr>
      <t>°</t>
    </r>
    <r>
      <rPr>
        <sz val="9"/>
        <rFont val="Arial"/>
        <family val="0"/>
      </rPr>
      <t>F</t>
    </r>
  </si>
  <si>
    <t>Correction:  a minus sign was added to formula to indicate a credit</t>
  </si>
  <si>
    <t>BTUs/hr</t>
  </si>
  <si>
    <t>Area of exterior heated walls (above grade only)</t>
  </si>
  <si>
    <t xml:space="preserve">Design check </t>
  </si>
  <si>
    <t>target (10% - 20%)</t>
  </si>
  <si>
    <t>Monthly Total</t>
  </si>
  <si>
    <t>formula changed to exclude neg numbers</t>
  </si>
  <si>
    <t xml:space="preserve"> furnace size (BTUs/hr)</t>
  </si>
  <si>
    <t>Furnance sizes were factor of 24 too low</t>
  </si>
  <si>
    <t>Sizing the Solar Slab</t>
  </si>
  <si>
    <t>Insolation on Sunny Feb day</t>
  </si>
  <si>
    <t>heat loss from 7:00 - 5:00</t>
  </si>
  <si>
    <t>BTUs</t>
  </si>
  <si>
    <t>Excess Heat</t>
  </si>
  <si>
    <t>solar slab volume needed</t>
  </si>
  <si>
    <t>ft^3</t>
  </si>
  <si>
    <t>Area of concrete slab</t>
  </si>
  <si>
    <t>ft^2</t>
  </si>
  <si>
    <t xml:space="preserve">Slab thickness necessary </t>
  </si>
  <si>
    <t>inches</t>
  </si>
  <si>
    <t>inches (minimum of 4" suggested)</t>
  </si>
  <si>
    <t>Shade Coefficient of Glass</t>
  </si>
  <si>
    <t>U-value of glass with insulation</t>
  </si>
  <si>
    <t>Shade Coeff</t>
  </si>
  <si>
    <t>average winter temp (appendix 5)</t>
  </si>
  <si>
    <r>
      <t>°</t>
    </r>
    <r>
      <rPr>
        <sz val="9"/>
        <rFont val="Arial"/>
        <family val="0"/>
      </rPr>
      <t>F</t>
    </r>
  </si>
  <si>
    <t>slab thickness necessary if on top of 12" concrete blocks (aka his design method)</t>
  </si>
  <si>
    <t>MBTU</t>
  </si>
  <si>
    <t xml:space="preserve">Annual Additional Heat Needed: </t>
  </si>
  <si>
    <t>Addition not in Kachadorian's worksheets</t>
  </si>
  <si>
    <t>Area of ground floor</t>
  </si>
  <si>
    <t xml:space="preserve">Heat loss through the floor.  </t>
  </si>
  <si>
    <t>Ground Floor: R-value</t>
  </si>
  <si>
    <r>
      <t xml:space="preserve">Lower living space concrete wall </t>
    </r>
    <r>
      <rPr>
        <sz val="10"/>
        <color indexed="61"/>
        <rFont val="Arial"/>
        <family val="2"/>
      </rPr>
      <t>&amp; ground floor</t>
    </r>
    <r>
      <rPr>
        <sz val="10"/>
        <rFont val="Arial"/>
        <family val="0"/>
      </rPr>
      <t xml:space="preserve"> in btus</t>
    </r>
  </si>
  <si>
    <t xml:space="preserve">loss through floor added.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</si>
</sst>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"/>
    <numFmt numFmtId="176" formatCode="_(* #,##0.000_);_(* \(#,##0.000\);_(* &quot;-&quot;?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name val="Symbo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9" fontId="0" fillId="0" borderId="0" xfId="19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19" applyNumberFormat="1" applyAlignment="1">
      <alignment horizontal="center"/>
    </xf>
    <xf numFmtId="166" fontId="7" fillId="0" borderId="2" xfId="19" applyNumberFormat="1" applyFont="1" applyBorder="1" applyAlignment="1">
      <alignment horizontal="center"/>
    </xf>
    <xf numFmtId="0" fontId="0" fillId="3" borderId="0" xfId="0" applyFill="1" applyAlignment="1">
      <alignment/>
    </xf>
    <xf numFmtId="168" fontId="0" fillId="2" borderId="0" xfId="15" applyNumberForma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0" xfId="15" applyNumberFormat="1" applyAlignment="1">
      <alignment horizontal="center"/>
    </xf>
    <xf numFmtId="168" fontId="0" fillId="0" borderId="6" xfId="15" applyNumberFormat="1" applyBorder="1" applyAlignment="1">
      <alignment horizontal="center"/>
    </xf>
    <xf numFmtId="168" fontId="0" fillId="0" borderId="7" xfId="15" applyNumberFormat="1" applyBorder="1" applyAlignment="1">
      <alignment horizontal="center"/>
    </xf>
    <xf numFmtId="168" fontId="0" fillId="0" borderId="0" xfId="15" applyNumberFormat="1" applyBorder="1" applyAlignment="1">
      <alignment horizontal="center"/>
    </xf>
    <xf numFmtId="168" fontId="0" fillId="0" borderId="8" xfId="15" applyNumberFormat="1" applyBorder="1" applyAlignment="1">
      <alignment horizontal="center"/>
    </xf>
    <xf numFmtId="168" fontId="0" fillId="0" borderId="1" xfId="15" applyNumberFormat="1" applyBorder="1" applyAlignment="1">
      <alignment horizontal="center"/>
    </xf>
    <xf numFmtId="168" fontId="0" fillId="0" borderId="9" xfId="15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6" xfId="15" applyNumberFormat="1" applyBorder="1" applyAlignment="1">
      <alignment/>
    </xf>
    <xf numFmtId="168" fontId="0" fillId="0" borderId="0" xfId="15" applyNumberFormat="1" applyBorder="1" applyAlignment="1">
      <alignment/>
    </xf>
    <xf numFmtId="168" fontId="0" fillId="0" borderId="1" xfId="15" applyNumberFormat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168" fontId="2" fillId="0" borderId="1" xfId="15" applyNumberFormat="1" applyFont="1" applyBorder="1" applyAlignment="1">
      <alignment/>
    </xf>
    <xf numFmtId="168" fontId="0" fillId="0" borderId="0" xfId="15" applyNumberFormat="1" applyAlignment="1">
      <alignment/>
    </xf>
    <xf numFmtId="9" fontId="0" fillId="0" borderId="0" xfId="19" applyFont="1" applyAlignment="1">
      <alignment/>
    </xf>
    <xf numFmtId="0" fontId="0" fillId="3" borderId="0" xfId="0" applyFill="1" applyAlignment="1">
      <alignment wrapText="1"/>
    </xf>
    <xf numFmtId="168" fontId="0" fillId="3" borderId="0" xfId="15" applyNumberForma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168" fontId="0" fillId="0" borderId="0" xfId="15" applyNumberFormat="1" applyAlignment="1">
      <alignment/>
    </xf>
    <xf numFmtId="0" fontId="10" fillId="3" borderId="0" xfId="0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2" fontId="13" fillId="0" borderId="2" xfId="0" applyNumberFormat="1" applyFont="1" applyBorder="1" applyAlignment="1">
      <alignment horizontal="center"/>
    </xf>
    <xf numFmtId="168" fontId="5" fillId="0" borderId="0" xfId="15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1" fontId="0" fillId="5" borderId="0" xfId="0" applyNumberFormat="1" applyFill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168" fontId="0" fillId="3" borderId="0" xfId="15" applyNumberFormat="1" applyFill="1" applyBorder="1" applyAlignment="1">
      <alignment/>
    </xf>
    <xf numFmtId="43" fontId="7" fillId="0" borderId="0" xfId="0" applyNumberFormat="1" applyFont="1" applyAlignment="1">
      <alignment/>
    </xf>
    <xf numFmtId="168" fontId="0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workbookViewId="0" topLeftCell="A1">
      <selection activeCell="B24" sqref="B24"/>
    </sheetView>
  </sheetViews>
  <sheetFormatPr defaultColWidth="9.140625" defaultRowHeight="12.75"/>
  <cols>
    <col min="1" max="2" width="13.8515625" style="0" customWidth="1"/>
  </cols>
  <sheetData>
    <row r="1" ht="12.75">
      <c r="G1" t="s">
        <v>60</v>
      </c>
    </row>
    <row r="2" spans="1:13" ht="12.75">
      <c r="A2" t="s">
        <v>47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2:14" ht="12.75">
      <c r="B3">
        <v>34</v>
      </c>
      <c r="C3">
        <v>43</v>
      </c>
      <c r="D3">
        <v>48</v>
      </c>
      <c r="E3">
        <v>47</v>
      </c>
      <c r="F3">
        <v>53</v>
      </c>
      <c r="G3">
        <v>59</v>
      </c>
      <c r="H3">
        <v>62</v>
      </c>
      <c r="I3">
        <v>59</v>
      </c>
      <c r="J3">
        <v>51</v>
      </c>
      <c r="K3">
        <v>43</v>
      </c>
      <c r="L3">
        <v>25</v>
      </c>
      <c r="M3">
        <v>24</v>
      </c>
      <c r="N3">
        <v>24</v>
      </c>
    </row>
    <row r="5" spans="7:15" ht="12.75">
      <c r="G5" t="s">
        <v>66</v>
      </c>
      <c r="O5" t="s">
        <v>67</v>
      </c>
    </row>
    <row r="6" spans="2:15" ht="12.75">
      <c r="B6">
        <v>1513</v>
      </c>
      <c r="C6">
        <v>1333</v>
      </c>
      <c r="D6">
        <v>1187</v>
      </c>
      <c r="E6">
        <v>714</v>
      </c>
      <c r="F6">
        <v>353</v>
      </c>
      <c r="G6">
        <v>90</v>
      </c>
      <c r="H6">
        <v>28</v>
      </c>
      <c r="I6">
        <v>65</v>
      </c>
      <c r="J6">
        <v>207</v>
      </c>
      <c r="K6">
        <v>539</v>
      </c>
      <c r="L6">
        <v>891</v>
      </c>
      <c r="M6">
        <v>1349</v>
      </c>
      <c r="O6">
        <v>8269</v>
      </c>
    </row>
    <row r="10" spans="1:5" ht="12.75">
      <c r="A10" t="s">
        <v>61</v>
      </c>
      <c r="B10" t="s">
        <v>62</v>
      </c>
      <c r="C10" t="s">
        <v>63</v>
      </c>
      <c r="D10" t="s">
        <v>69</v>
      </c>
      <c r="E10" t="s">
        <v>68</v>
      </c>
    </row>
    <row r="11" spans="1:5" ht="12.75">
      <c r="A11" t="s">
        <v>64</v>
      </c>
      <c r="B11" t="s">
        <v>65</v>
      </c>
      <c r="C11">
        <v>331</v>
      </c>
      <c r="D11" s="5">
        <v>-10</v>
      </c>
      <c r="E11">
        <v>29.4</v>
      </c>
    </row>
    <row r="14" spans="1:35" ht="12.75">
      <c r="A14" t="s">
        <v>70</v>
      </c>
      <c r="B14" t="s">
        <v>48</v>
      </c>
      <c r="E14" t="s">
        <v>76</v>
      </c>
      <c r="H14" t="s">
        <v>77</v>
      </c>
      <c r="K14" t="s">
        <v>51</v>
      </c>
      <c r="N14" t="s">
        <v>52</v>
      </c>
      <c r="Q14" t="s">
        <v>53</v>
      </c>
      <c r="T14" t="s">
        <v>54</v>
      </c>
      <c r="W14" t="s">
        <v>55</v>
      </c>
      <c r="Z14" t="s">
        <v>56</v>
      </c>
      <c r="AC14" t="s">
        <v>57</v>
      </c>
      <c r="AF14" t="s">
        <v>58</v>
      </c>
      <c r="AI14" t="s">
        <v>59</v>
      </c>
    </row>
    <row r="15" spans="2:37" ht="12.75">
      <c r="B15" t="s">
        <v>71</v>
      </c>
      <c r="C15" t="s">
        <v>72</v>
      </c>
      <c r="D15" t="s">
        <v>73</v>
      </c>
      <c r="E15" t="s">
        <v>71</v>
      </c>
      <c r="F15" t="s">
        <v>72</v>
      </c>
      <c r="G15" t="s">
        <v>73</v>
      </c>
      <c r="H15" t="s">
        <v>78</v>
      </c>
      <c r="I15" t="s">
        <v>72</v>
      </c>
      <c r="J15" t="s">
        <v>73</v>
      </c>
      <c r="K15" t="s">
        <v>78</v>
      </c>
      <c r="L15" t="s">
        <v>72</v>
      </c>
      <c r="M15" t="s">
        <v>73</v>
      </c>
      <c r="N15" s="6" t="s">
        <v>78</v>
      </c>
      <c r="O15" s="6" t="s">
        <v>72</v>
      </c>
      <c r="P15" s="6" t="s">
        <v>73</v>
      </c>
      <c r="Q15" s="6" t="s">
        <v>78</v>
      </c>
      <c r="R15" s="6" t="s">
        <v>72</v>
      </c>
      <c r="S15" s="6" t="s">
        <v>73</v>
      </c>
      <c r="T15" s="6" t="s">
        <v>78</v>
      </c>
      <c r="U15" s="6" t="s">
        <v>72</v>
      </c>
      <c r="V15" s="6" t="s">
        <v>73</v>
      </c>
      <c r="W15" s="6" t="s">
        <v>78</v>
      </c>
      <c r="X15" s="6" t="s">
        <v>72</v>
      </c>
      <c r="Y15" s="6" t="s">
        <v>73</v>
      </c>
      <c r="Z15" s="6" t="s">
        <v>78</v>
      </c>
      <c r="AA15" s="6" t="s">
        <v>72</v>
      </c>
      <c r="AB15" s="6" t="s">
        <v>73</v>
      </c>
      <c r="AC15" s="6" t="s">
        <v>78</v>
      </c>
      <c r="AD15" s="6" t="s">
        <v>72</v>
      </c>
      <c r="AE15" s="6" t="s">
        <v>73</v>
      </c>
      <c r="AF15" s="6" t="s">
        <v>78</v>
      </c>
      <c r="AG15" s="6" t="s">
        <v>72</v>
      </c>
      <c r="AH15" s="6" t="s">
        <v>73</v>
      </c>
      <c r="AI15" s="6" t="s">
        <v>78</v>
      </c>
      <c r="AJ15" s="6" t="s">
        <v>72</v>
      </c>
      <c r="AK15" s="6" t="s">
        <v>73</v>
      </c>
    </row>
    <row r="16" spans="1:37" ht="12.75">
      <c r="A16" t="s">
        <v>74</v>
      </c>
      <c r="B16">
        <v>452</v>
      </c>
      <c r="C16">
        <v>813</v>
      </c>
      <c r="D16" s="69">
        <f>B16</f>
        <v>452</v>
      </c>
      <c r="E16">
        <v>648</v>
      </c>
      <c r="F16">
        <v>821</v>
      </c>
      <c r="G16" s="69">
        <f>E16</f>
        <v>648</v>
      </c>
      <c r="H16">
        <v>832</v>
      </c>
      <c r="I16" s="69">
        <v>694</v>
      </c>
      <c r="J16" s="69">
        <f>H16</f>
        <v>832</v>
      </c>
      <c r="K16">
        <v>957</v>
      </c>
      <c r="L16">
        <v>488</v>
      </c>
      <c r="M16" s="69">
        <f>K16</f>
        <v>957</v>
      </c>
      <c r="N16">
        <v>1024</v>
      </c>
      <c r="O16">
        <v>358</v>
      </c>
      <c r="P16" s="69">
        <f>N16</f>
        <v>1024</v>
      </c>
      <c r="Q16">
        <v>1038</v>
      </c>
      <c r="R16">
        <v>315</v>
      </c>
      <c r="S16" s="69">
        <f>Q16</f>
        <v>1038</v>
      </c>
      <c r="T16">
        <v>1008</v>
      </c>
      <c r="U16">
        <v>352</v>
      </c>
      <c r="V16" s="69">
        <f>T16</f>
        <v>1008</v>
      </c>
      <c r="W16">
        <v>928</v>
      </c>
      <c r="X16">
        <v>474</v>
      </c>
      <c r="Y16" s="69">
        <f>W16</f>
        <v>928</v>
      </c>
      <c r="Z16">
        <v>787</v>
      </c>
      <c r="AA16" s="69">
        <v>672</v>
      </c>
      <c r="AB16" s="69">
        <f>Z16</f>
        <v>787</v>
      </c>
      <c r="AC16">
        <v>623</v>
      </c>
      <c r="AD16" s="69">
        <v>791</v>
      </c>
      <c r="AE16" s="69">
        <f>AC16</f>
        <v>623</v>
      </c>
      <c r="AF16">
        <v>445</v>
      </c>
      <c r="AG16">
        <v>798</v>
      </c>
      <c r="AH16" s="69">
        <f>AF16</f>
        <v>445</v>
      </c>
      <c r="AI16">
        <v>374</v>
      </c>
      <c r="AJ16">
        <v>775</v>
      </c>
      <c r="AK16" s="69">
        <f>AI16</f>
        <v>374</v>
      </c>
    </row>
    <row r="17" spans="1:37" ht="12.75">
      <c r="A17" t="s">
        <v>75</v>
      </c>
      <c r="B17">
        <v>316</v>
      </c>
      <c r="C17">
        <v>701</v>
      </c>
      <c r="D17" s="69">
        <f>B17</f>
        <v>316</v>
      </c>
      <c r="E17">
        <v>541</v>
      </c>
      <c r="F17">
        <v>813</v>
      </c>
      <c r="G17" s="69">
        <f>E17</f>
        <v>541</v>
      </c>
      <c r="H17">
        <v>775</v>
      </c>
      <c r="I17">
        <v>767</v>
      </c>
      <c r="J17" s="69">
        <f>H17</f>
        <v>775</v>
      </c>
      <c r="K17">
        <v>957</v>
      </c>
      <c r="L17">
        <v>605</v>
      </c>
      <c r="M17" s="69">
        <f>K17</f>
        <v>957</v>
      </c>
      <c r="N17">
        <v>1065</v>
      </c>
      <c r="O17">
        <v>483</v>
      </c>
      <c r="P17" s="69">
        <f>N17</f>
        <v>1065</v>
      </c>
      <c r="Q17">
        <v>1095</v>
      </c>
      <c r="R17">
        <v>436</v>
      </c>
      <c r="S17" s="69">
        <f>Q17</f>
        <v>1095</v>
      </c>
      <c r="T17" s="69">
        <v>1050</v>
      </c>
      <c r="U17">
        <v>474</v>
      </c>
      <c r="V17" s="69">
        <f>T17</f>
        <v>1050</v>
      </c>
      <c r="W17">
        <v>929</v>
      </c>
      <c r="X17">
        <v>578</v>
      </c>
      <c r="Y17" s="69">
        <f>W17</f>
        <v>929</v>
      </c>
      <c r="Z17">
        <v>729</v>
      </c>
      <c r="AA17">
        <v>737</v>
      </c>
      <c r="AB17" s="69">
        <f>Z17</f>
        <v>729</v>
      </c>
      <c r="AC17">
        <v>519</v>
      </c>
      <c r="AD17">
        <v>779</v>
      </c>
      <c r="AE17" s="69">
        <f>AC17</f>
        <v>519</v>
      </c>
      <c r="AF17">
        <v>310</v>
      </c>
      <c r="AG17">
        <v>686</v>
      </c>
      <c r="AH17" s="69">
        <f>AF17</f>
        <v>310</v>
      </c>
      <c r="AI17">
        <v>233</v>
      </c>
      <c r="AJ17">
        <v>616</v>
      </c>
      <c r="AK17" s="69">
        <f>AI17</f>
        <v>233</v>
      </c>
    </row>
    <row r="18" spans="1:37" ht="12.75">
      <c r="A18" t="s">
        <v>79</v>
      </c>
      <c r="B18">
        <f>AVERAGE(B16:B17)</f>
        <v>384</v>
      </c>
      <c r="C18">
        <f>AVERAGE(C16:C17)*2</f>
        <v>1514</v>
      </c>
      <c r="D18">
        <f aca="true" t="shared" si="0" ref="D18:AK18">AVERAGE(D16:D17)</f>
        <v>384</v>
      </c>
      <c r="E18">
        <f t="shared" si="0"/>
        <v>594.5</v>
      </c>
      <c r="F18">
        <f>AVERAGE(F16:F17)*2</f>
        <v>1634</v>
      </c>
      <c r="G18">
        <f t="shared" si="0"/>
        <v>594.5</v>
      </c>
      <c r="H18">
        <f t="shared" si="0"/>
        <v>803.5</v>
      </c>
      <c r="I18">
        <f>AVERAGE(I16:I17)*2</f>
        <v>1461</v>
      </c>
      <c r="J18">
        <f t="shared" si="0"/>
        <v>803.5</v>
      </c>
      <c r="K18">
        <f t="shared" si="0"/>
        <v>957</v>
      </c>
      <c r="L18">
        <f>AVERAGE(L16:L17)*2</f>
        <v>1093</v>
      </c>
      <c r="M18">
        <f t="shared" si="0"/>
        <v>957</v>
      </c>
      <c r="N18">
        <f t="shared" si="0"/>
        <v>1044.5</v>
      </c>
      <c r="O18">
        <f>AVERAGE(O16:O17)*2</f>
        <v>841</v>
      </c>
      <c r="P18">
        <f t="shared" si="0"/>
        <v>1044.5</v>
      </c>
      <c r="Q18">
        <f t="shared" si="0"/>
        <v>1066.5</v>
      </c>
      <c r="R18">
        <f>AVERAGE(R16:R17)*2</f>
        <v>751</v>
      </c>
      <c r="S18">
        <f t="shared" si="0"/>
        <v>1066.5</v>
      </c>
      <c r="T18">
        <f t="shared" si="0"/>
        <v>1029</v>
      </c>
      <c r="U18">
        <f>AVERAGE(U16:U17)*2</f>
        <v>826</v>
      </c>
      <c r="V18">
        <f t="shared" si="0"/>
        <v>1029</v>
      </c>
      <c r="W18">
        <f t="shared" si="0"/>
        <v>928.5</v>
      </c>
      <c r="X18">
        <f>AVERAGE(X16:X17)*2</f>
        <v>1052</v>
      </c>
      <c r="Y18">
        <f t="shared" si="0"/>
        <v>928.5</v>
      </c>
      <c r="Z18">
        <f t="shared" si="0"/>
        <v>758</v>
      </c>
      <c r="AA18">
        <f>AVERAGE(AA16:AA17)*2</f>
        <v>1409</v>
      </c>
      <c r="AB18">
        <f t="shared" si="0"/>
        <v>758</v>
      </c>
      <c r="AC18">
        <f t="shared" si="0"/>
        <v>571</v>
      </c>
      <c r="AD18">
        <f>AVERAGE(AD16:AD17)*2</f>
        <v>1570</v>
      </c>
      <c r="AE18">
        <f t="shared" si="0"/>
        <v>571</v>
      </c>
      <c r="AF18">
        <f t="shared" si="0"/>
        <v>377.5</v>
      </c>
      <c r="AG18">
        <f>AVERAGE(AG16:AG17)*2</f>
        <v>1484</v>
      </c>
      <c r="AH18">
        <f t="shared" si="0"/>
        <v>377.5</v>
      </c>
      <c r="AI18">
        <f t="shared" si="0"/>
        <v>303.5</v>
      </c>
      <c r="AJ18">
        <f>AVERAGE(AJ16:AJ17)*2</f>
        <v>1391</v>
      </c>
      <c r="AK18">
        <f t="shared" si="0"/>
        <v>303.5</v>
      </c>
    </row>
    <row r="20" spans="1:2" ht="12.75">
      <c r="A20" t="s">
        <v>70</v>
      </c>
      <c r="B20" t="s">
        <v>95</v>
      </c>
    </row>
    <row r="21" spans="1:2" ht="12.75">
      <c r="A21" t="s">
        <v>81</v>
      </c>
      <c r="B21">
        <v>207</v>
      </c>
    </row>
    <row r="22" spans="1:2" ht="12.75">
      <c r="A22" t="s">
        <v>82</v>
      </c>
      <c r="B22">
        <v>539</v>
      </c>
    </row>
    <row r="23" spans="1:2" ht="12.75">
      <c r="A23" t="s">
        <v>83</v>
      </c>
      <c r="B23">
        <v>891</v>
      </c>
    </row>
    <row r="24" spans="1:2" ht="12.75">
      <c r="A24" t="s">
        <v>84</v>
      </c>
      <c r="B24">
        <v>1349</v>
      </c>
    </row>
    <row r="25" spans="1:2" ht="12.75">
      <c r="A25" t="s">
        <v>85</v>
      </c>
      <c r="B25">
        <v>1513</v>
      </c>
    </row>
    <row r="26" spans="1:2" ht="12.75">
      <c r="A26" t="s">
        <v>86</v>
      </c>
      <c r="B26">
        <v>1333</v>
      </c>
    </row>
    <row r="27" spans="1:2" ht="12.75">
      <c r="A27" t="s">
        <v>87</v>
      </c>
      <c r="B27">
        <v>1187</v>
      </c>
    </row>
    <row r="28" spans="1:2" ht="12.75">
      <c r="A28" t="s">
        <v>88</v>
      </c>
      <c r="B28">
        <v>714</v>
      </c>
    </row>
    <row r="29" spans="1:2" ht="12.75">
      <c r="A29" t="s">
        <v>52</v>
      </c>
      <c r="B29">
        <v>353</v>
      </c>
    </row>
    <row r="30" spans="1:2" ht="12.75">
      <c r="A30" t="s">
        <v>89</v>
      </c>
      <c r="B30">
        <v>90</v>
      </c>
    </row>
    <row r="31" spans="1:2" ht="12.75">
      <c r="A31" t="s">
        <v>90</v>
      </c>
      <c r="B31">
        <v>28</v>
      </c>
    </row>
    <row r="32" spans="1:2" ht="12.75">
      <c r="A32" t="s">
        <v>91</v>
      </c>
      <c r="B32">
        <v>65</v>
      </c>
    </row>
    <row r="35" spans="1:4" ht="12.75">
      <c r="A35" t="s">
        <v>109</v>
      </c>
      <c r="B35" t="s">
        <v>116</v>
      </c>
      <c r="C35" t="s">
        <v>117</v>
      </c>
      <c r="D35" t="s">
        <v>119</v>
      </c>
    </row>
    <row r="36" spans="1:3" ht="12.75">
      <c r="A36" t="s">
        <v>110</v>
      </c>
      <c r="B36">
        <v>0.24</v>
      </c>
      <c r="C36" s="7">
        <v>1.5</v>
      </c>
    </row>
    <row r="37" spans="1:3" ht="12.75">
      <c r="A37" t="s">
        <v>111</v>
      </c>
      <c r="B37">
        <v>0.26</v>
      </c>
      <c r="C37">
        <v>4</v>
      </c>
    </row>
    <row r="38" spans="1:3" ht="12.75">
      <c r="A38" t="s">
        <v>118</v>
      </c>
      <c r="B38">
        <v>0.24</v>
      </c>
      <c r="C38">
        <v>1</v>
      </c>
    </row>
    <row r="39" spans="1:3" ht="12.75">
      <c r="A39" t="s">
        <v>112</v>
      </c>
      <c r="B39">
        <v>0.16</v>
      </c>
      <c r="C39">
        <v>1</v>
      </c>
    </row>
    <row r="40" spans="1:3" ht="12.75">
      <c r="A40" t="s">
        <v>113</v>
      </c>
      <c r="B40">
        <v>0.2</v>
      </c>
      <c r="C40">
        <v>1</v>
      </c>
    </row>
    <row r="41" spans="1:3" ht="12.75">
      <c r="A41" t="s">
        <v>114</v>
      </c>
      <c r="B41">
        <v>0.35</v>
      </c>
      <c r="C41">
        <v>1</v>
      </c>
    </row>
    <row r="42" spans="1:3" ht="12.75">
      <c r="A42" t="s">
        <v>115</v>
      </c>
      <c r="B42">
        <v>0.36</v>
      </c>
      <c r="C42">
        <v>1</v>
      </c>
    </row>
    <row r="47" spans="1:3" ht="13.5" thickBot="1">
      <c r="A47" s="71" t="s">
        <v>156</v>
      </c>
      <c r="B47" s="71"/>
      <c r="C47" s="71" t="s">
        <v>135</v>
      </c>
    </row>
    <row r="48" spans="1:3" ht="12.75">
      <c r="A48" s="69" t="s">
        <v>136</v>
      </c>
      <c r="B48" s="69"/>
      <c r="C48" s="69">
        <v>3.2</v>
      </c>
    </row>
    <row r="49" spans="1:3" ht="12.75">
      <c r="A49" s="69" t="s">
        <v>137</v>
      </c>
      <c r="B49" s="69"/>
      <c r="C49" s="69">
        <v>3.8</v>
      </c>
    </row>
    <row r="50" spans="1:3" ht="12.75">
      <c r="A50" s="69" t="s">
        <v>138</v>
      </c>
      <c r="B50" s="69"/>
      <c r="C50" s="69">
        <v>2.5</v>
      </c>
    </row>
    <row r="51" spans="1:3" ht="12.75">
      <c r="A51" s="69" t="s">
        <v>139</v>
      </c>
      <c r="B51" s="69"/>
      <c r="C51" s="69">
        <v>3.2</v>
      </c>
    </row>
    <row r="52" spans="1:3" ht="12.75">
      <c r="A52" s="69" t="s">
        <v>140</v>
      </c>
      <c r="B52" s="69"/>
      <c r="C52" s="69">
        <v>3.5</v>
      </c>
    </row>
    <row r="53" spans="1:3" ht="12.75">
      <c r="A53" s="69" t="s">
        <v>141</v>
      </c>
      <c r="B53" s="69"/>
      <c r="C53" s="69">
        <v>2.7</v>
      </c>
    </row>
    <row r="54" spans="1:3" ht="12.75">
      <c r="A54" s="69" t="s">
        <v>142</v>
      </c>
      <c r="B54" s="69"/>
      <c r="C54" s="69">
        <v>3.8</v>
      </c>
    </row>
    <row r="55" spans="1:3" ht="12.75">
      <c r="A55" s="69" t="s">
        <v>143</v>
      </c>
      <c r="B55" s="69"/>
      <c r="C55" s="69">
        <v>4.8</v>
      </c>
    </row>
    <row r="56" spans="1:3" ht="12.75">
      <c r="A56" s="69" t="s">
        <v>144</v>
      </c>
      <c r="B56" s="69"/>
      <c r="C56" s="69">
        <v>5.8</v>
      </c>
    </row>
    <row r="57" spans="1:3" ht="12.75">
      <c r="A57" s="69" t="s">
        <v>145</v>
      </c>
      <c r="B57" s="69"/>
      <c r="C57" s="69">
        <v>7</v>
      </c>
    </row>
    <row r="58" spans="1:3" ht="12.75">
      <c r="A58" s="69" t="s">
        <v>146</v>
      </c>
      <c r="B58" s="69"/>
      <c r="C58" s="69">
        <v>5.9</v>
      </c>
    </row>
    <row r="59" spans="1:3" ht="12.75">
      <c r="A59" s="69"/>
      <c r="B59" s="69"/>
      <c r="C59" s="69" t="s">
        <v>153</v>
      </c>
    </row>
    <row r="60" spans="1:3" ht="12.75">
      <c r="A60" s="69" t="s">
        <v>147</v>
      </c>
      <c r="B60" s="69"/>
      <c r="C60" s="69">
        <v>1.11</v>
      </c>
    </row>
    <row r="61" spans="1:3" ht="12.75">
      <c r="A61" s="69" t="s">
        <v>148</v>
      </c>
      <c r="B61" s="69"/>
      <c r="C61" s="69">
        <v>0.8</v>
      </c>
    </row>
    <row r="62" spans="1:3" ht="12.75">
      <c r="A62" s="69" t="s">
        <v>151</v>
      </c>
      <c r="B62" s="69"/>
      <c r="C62" s="69">
        <v>0.08</v>
      </c>
    </row>
    <row r="63" spans="1:3" ht="12.75">
      <c r="A63" s="69" t="s">
        <v>149</v>
      </c>
      <c r="B63" s="69"/>
      <c r="C63" s="69">
        <v>0.45</v>
      </c>
    </row>
    <row r="64" spans="1:3" ht="12.75">
      <c r="A64" s="69" t="s">
        <v>150</v>
      </c>
      <c r="B64" s="69"/>
      <c r="C64" s="69">
        <v>0.56</v>
      </c>
    </row>
    <row r="65" spans="1:3" ht="12.75">
      <c r="A65" s="69" t="s">
        <v>152</v>
      </c>
      <c r="B65" s="69"/>
      <c r="C65" s="69">
        <v>0.63</v>
      </c>
    </row>
    <row r="66" spans="1:3" ht="12.75">
      <c r="A66" s="69" t="s">
        <v>154</v>
      </c>
      <c r="B66" s="69"/>
      <c r="C66" s="69">
        <v>3.7</v>
      </c>
    </row>
    <row r="67" spans="1:3" ht="12.75">
      <c r="A67" s="69" t="s">
        <v>155</v>
      </c>
      <c r="B67" s="69"/>
      <c r="C67" s="69">
        <v>15</v>
      </c>
    </row>
    <row r="68" spans="1:3" ht="12.75">
      <c r="A68" s="69"/>
      <c r="B68" s="69"/>
      <c r="C68" s="69"/>
    </row>
    <row r="69" spans="1:3" ht="12.75">
      <c r="A69" s="72" t="s">
        <v>157</v>
      </c>
      <c r="B69" s="69"/>
      <c r="C69" s="6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85" zoomScaleNormal="85" workbookViewId="0" topLeftCell="A1">
      <selection activeCell="H20" sqref="H20"/>
    </sheetView>
  </sheetViews>
  <sheetFormatPr defaultColWidth="9.140625" defaultRowHeight="12.75"/>
  <cols>
    <col min="1" max="1" width="4.421875" style="0" customWidth="1"/>
    <col min="2" max="2" width="45.57421875" style="0" customWidth="1"/>
    <col min="3" max="3" width="12.00390625" style="0" customWidth="1"/>
    <col min="4" max="4" width="12.28125" style="0" bestFit="1" customWidth="1"/>
    <col min="5" max="5" width="13.140625" style="0" bestFit="1" customWidth="1"/>
    <col min="6" max="6" width="12.140625" style="0" customWidth="1"/>
    <col min="7" max="7" width="11.57421875" style="0" bestFit="1" customWidth="1"/>
    <col min="8" max="8" width="14.28125" style="0" bestFit="1" customWidth="1"/>
    <col min="9" max="9" width="10.421875" style="0" bestFit="1" customWidth="1"/>
    <col min="10" max="10" width="11.7109375" style="0" bestFit="1" customWidth="1"/>
    <col min="11" max="11" width="11.140625" style="0" bestFit="1" customWidth="1"/>
    <col min="12" max="13" width="12.00390625" style="0" customWidth="1"/>
    <col min="14" max="14" width="15.7109375" style="0" customWidth="1"/>
  </cols>
  <sheetData>
    <row r="1" spans="2:15" ht="26.25">
      <c r="B1" s="8"/>
      <c r="C1" s="8"/>
      <c r="D1" s="18" t="s">
        <v>128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2.75">
      <c r="B3" s="8"/>
      <c r="C3" s="8"/>
      <c r="D3" s="8"/>
      <c r="E3" s="8"/>
      <c r="F3" s="8"/>
      <c r="G3" s="8"/>
      <c r="H3" s="15"/>
      <c r="I3" s="8" t="s">
        <v>132</v>
      </c>
      <c r="J3" s="8"/>
      <c r="K3" s="8"/>
      <c r="L3" s="8"/>
      <c r="M3" s="8"/>
      <c r="N3" s="8"/>
      <c r="O3" s="8"/>
    </row>
    <row r="4" spans="2:15" ht="12.75">
      <c r="B4" s="8"/>
      <c r="C4" s="8"/>
      <c r="D4" s="8"/>
      <c r="E4" s="8"/>
      <c r="F4" s="8"/>
      <c r="G4" s="8"/>
      <c r="H4" s="23"/>
      <c r="I4" s="8" t="s">
        <v>166</v>
      </c>
      <c r="J4" s="8"/>
      <c r="K4" s="8"/>
      <c r="L4" s="8"/>
      <c r="M4" s="8"/>
      <c r="N4" s="8"/>
      <c r="O4" s="8"/>
    </row>
    <row r="5" spans="1:15" ht="12.75">
      <c r="A5">
        <v>5</v>
      </c>
      <c r="B5" s="1" t="s">
        <v>133</v>
      </c>
      <c r="C5" s="1"/>
      <c r="D5" s="14">
        <v>36</v>
      </c>
      <c r="E5" s="8"/>
      <c r="F5" s="8"/>
      <c r="G5" s="8"/>
      <c r="H5" s="77"/>
      <c r="I5" s="8" t="s">
        <v>199</v>
      </c>
      <c r="J5" s="8"/>
      <c r="K5" s="8"/>
      <c r="L5" s="8"/>
      <c r="M5" s="8"/>
      <c r="N5" s="8"/>
      <c r="O5" s="8"/>
    </row>
    <row r="6" spans="1:15" ht="12.75">
      <c r="A6">
        <v>6</v>
      </c>
      <c r="B6" s="8" t="s">
        <v>0</v>
      </c>
      <c r="C6" s="8"/>
      <c r="D6" s="15">
        <v>68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>
        <v>7</v>
      </c>
      <c r="B7" s="8" t="s">
        <v>1</v>
      </c>
      <c r="C7" s="8"/>
      <c r="D7" s="15">
        <v>264</v>
      </c>
      <c r="E7" s="8">
        <f>SUM(D5:D7)</f>
        <v>368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3.5" thickBot="1">
      <c r="A8">
        <v>8</v>
      </c>
      <c r="B8" s="8" t="s">
        <v>131</v>
      </c>
      <c r="C8" s="8"/>
      <c r="D8" s="48">
        <v>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>
        <v>9</v>
      </c>
      <c r="B9" s="8" t="s">
        <v>2</v>
      </c>
      <c r="C9" s="8"/>
      <c r="D9" s="8">
        <f>SUM(D5:D8)</f>
        <v>396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>
        <v>10</v>
      </c>
      <c r="B12" s="8" t="s">
        <v>134</v>
      </c>
      <c r="C12" s="8"/>
      <c r="D12" s="15">
        <v>250</v>
      </c>
      <c r="E12" s="23" t="s">
        <v>130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>
        <v>11</v>
      </c>
      <c r="B14" s="8" t="s">
        <v>3</v>
      </c>
      <c r="C14" s="8"/>
      <c r="D14" s="15">
        <v>0.33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>
        <v>12</v>
      </c>
      <c r="B15" s="8" t="s">
        <v>191</v>
      </c>
      <c r="C15" s="8"/>
      <c r="D15" s="15">
        <v>0.88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>
        <v>13</v>
      </c>
      <c r="B16" s="8" t="s">
        <v>192</v>
      </c>
      <c r="C16" s="8"/>
      <c r="D16" s="68">
        <f>D62</f>
        <v>0.10152284263959391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5.5">
      <c r="A17">
        <v>14</v>
      </c>
      <c r="B17" s="5" t="s">
        <v>172</v>
      </c>
      <c r="C17" s="5"/>
      <c r="D17" s="15">
        <v>1744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>
        <v>15</v>
      </c>
      <c r="B18" s="8" t="s">
        <v>4</v>
      </c>
      <c r="C18" s="8"/>
      <c r="D18" s="8">
        <f>D17-D9</f>
        <v>1348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>
        <v>16</v>
      </c>
      <c r="B19" s="8" t="s">
        <v>5</v>
      </c>
      <c r="C19" s="8"/>
      <c r="D19" s="15">
        <v>704</v>
      </c>
      <c r="E19" s="8">
        <f>SUM(D17+D19)</f>
        <v>2448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12.75">
      <c r="B20" s="8" t="s">
        <v>200</v>
      </c>
      <c r="C20" s="8"/>
      <c r="D20" s="15">
        <v>936</v>
      </c>
      <c r="E20" s="77" t="s">
        <v>201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>
        <v>17</v>
      </c>
      <c r="B21" s="8" t="s">
        <v>6</v>
      </c>
      <c r="C21" s="8"/>
      <c r="D21" s="15">
        <v>1056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>
        <v>18</v>
      </c>
      <c r="B22" s="8" t="s">
        <v>108</v>
      </c>
      <c r="C22" s="8"/>
      <c r="D22" s="24">
        <v>19000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>
        <v>19</v>
      </c>
      <c r="B23" s="8" t="s">
        <v>7</v>
      </c>
      <c r="C23" s="8"/>
      <c r="D23" s="15">
        <v>-10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12.75">
      <c r="B24" s="8"/>
      <c r="C24" s="8"/>
      <c r="D24" s="5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12.75">
      <c r="B25" s="8" t="s">
        <v>167</v>
      </c>
      <c r="C25" s="8"/>
      <c r="D25" s="15">
        <v>0.47</v>
      </c>
      <c r="E25" s="23" t="s">
        <v>168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2" t="s">
        <v>160</v>
      </c>
      <c r="B27" s="9" t="s">
        <v>161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12.75">
      <c r="B28" s="8" t="s">
        <v>8</v>
      </c>
      <c r="C28" s="8"/>
      <c r="D28" s="8">
        <v>0.17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2.75">
      <c r="B29" s="8" t="s">
        <v>9</v>
      </c>
      <c r="C29" s="8"/>
      <c r="D29" s="15">
        <v>1.5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2.75">
      <c r="B30" s="8" t="s">
        <v>10</v>
      </c>
      <c r="C30" s="8"/>
      <c r="D30" s="15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2.75">
      <c r="B31" s="8" t="s">
        <v>11</v>
      </c>
      <c r="C31" s="8"/>
      <c r="D31" s="15">
        <v>0.5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12.75">
      <c r="B32" s="8" t="s">
        <v>12</v>
      </c>
      <c r="C32" s="8"/>
      <c r="D32" s="15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2.75">
      <c r="B33" s="8" t="s">
        <v>13</v>
      </c>
      <c r="C33" s="8"/>
      <c r="D33" s="15">
        <v>37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2.75">
      <c r="B34" s="8" t="s">
        <v>14</v>
      </c>
      <c r="C34" s="8"/>
      <c r="D34" s="15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12.75">
      <c r="B35" s="8" t="s">
        <v>15</v>
      </c>
      <c r="C35" s="8"/>
      <c r="D35" s="15">
        <v>0.5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2.75">
      <c r="B36" s="8" t="s">
        <v>16</v>
      </c>
      <c r="C36" s="8"/>
      <c r="D36" s="8">
        <v>0.68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s="3" customFormat="1" ht="12.75">
      <c r="B37" s="10" t="s">
        <v>17</v>
      </c>
      <c r="C37" s="10"/>
      <c r="D37" s="10">
        <f>SUM(D28:D36)</f>
        <v>40.35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2.75">
      <c r="B39" s="8" t="s">
        <v>18</v>
      </c>
      <c r="C39" s="8"/>
      <c r="D39" s="36">
        <f>1/D37</f>
        <v>0.024783147459727383</v>
      </c>
      <c r="E39" s="8" t="s">
        <v>158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2" customFormat="1" ht="12.75">
      <c r="A41" s="2" t="s">
        <v>159</v>
      </c>
      <c r="B41" s="9" t="s">
        <v>19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2.75">
      <c r="B42" s="8" t="s">
        <v>20</v>
      </c>
      <c r="C42" s="8"/>
      <c r="D42" s="8">
        <v>0.17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2.75">
      <c r="B43" s="8" t="s">
        <v>21</v>
      </c>
      <c r="C43" s="8"/>
      <c r="D43" s="15">
        <v>0.5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2.75">
      <c r="B44" s="8" t="s">
        <v>22</v>
      </c>
      <c r="C44" s="8"/>
      <c r="D44" s="15">
        <v>0.5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2.75">
      <c r="B45" s="8" t="s">
        <v>23</v>
      </c>
      <c r="C45" s="8"/>
      <c r="D45" s="15">
        <v>0.5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2.75">
      <c r="B46" s="8" t="s">
        <v>13</v>
      </c>
      <c r="C46" s="8"/>
      <c r="D46" s="15">
        <v>57.5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2.75">
      <c r="B47" s="8" t="s">
        <v>14</v>
      </c>
      <c r="C47" s="8"/>
      <c r="D47" s="15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12.75">
      <c r="B48" s="8" t="s">
        <v>24</v>
      </c>
      <c r="C48" s="8"/>
      <c r="D48" s="15">
        <v>0.5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2.75">
      <c r="B49" s="8" t="s">
        <v>25</v>
      </c>
      <c r="C49" s="8"/>
      <c r="D49" s="8">
        <v>0.68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12.75">
      <c r="B50" s="11" t="s">
        <v>26</v>
      </c>
      <c r="C50" s="11"/>
      <c r="D50" s="9">
        <f>SUM(D42:D49)</f>
        <v>60.35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12.75">
      <c r="B52" s="8" t="s">
        <v>120</v>
      </c>
      <c r="C52" s="8"/>
      <c r="D52" s="36">
        <f>1/D50</f>
        <v>0.016570008285004142</v>
      </c>
      <c r="E52" s="8" t="s">
        <v>158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2" t="s">
        <v>162</v>
      </c>
      <c r="B54" s="9" t="s">
        <v>27</v>
      </c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12.75">
      <c r="B55" s="8" t="s">
        <v>20</v>
      </c>
      <c r="C55" s="8"/>
      <c r="D55" s="8">
        <v>0.17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12.75">
      <c r="B56" s="8" t="s">
        <v>28</v>
      </c>
      <c r="C56" s="8"/>
      <c r="D56" s="15">
        <v>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2.75">
      <c r="B57" s="8" t="s">
        <v>29</v>
      </c>
      <c r="C57" s="8"/>
      <c r="D57" s="15"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12.75">
      <c r="B58" s="8" t="s">
        <v>30</v>
      </c>
      <c r="C58" s="8"/>
      <c r="D58" s="15">
        <v>6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12.75">
      <c r="B59" s="8" t="s">
        <v>31</v>
      </c>
      <c r="C59" s="8"/>
      <c r="D59" s="8">
        <v>0.68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s="4" customFormat="1" ht="12.75">
      <c r="B60" s="11" t="s">
        <v>32</v>
      </c>
      <c r="C60" s="11"/>
      <c r="D60" s="11">
        <f>SUM(D55:D59)</f>
        <v>9.85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2.75">
      <c r="B62" s="8" t="s">
        <v>33</v>
      </c>
      <c r="C62" s="8"/>
      <c r="D62" s="36">
        <f>1/D60</f>
        <v>0.10152284263959391</v>
      </c>
      <c r="E62" s="8" t="s">
        <v>158</v>
      </c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2" t="s">
        <v>163</v>
      </c>
      <c r="B64" s="9" t="s">
        <v>34</v>
      </c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12.75">
      <c r="B65" s="8" t="s">
        <v>35</v>
      </c>
      <c r="C65" s="8"/>
      <c r="D65" s="15">
        <v>28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12.75">
      <c r="B66" s="8" t="s">
        <v>36</v>
      </c>
      <c r="C66" s="8"/>
      <c r="D66" s="15">
        <f>6*0.075</f>
        <v>0.44999999999999996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12.75">
      <c r="B67" s="8" t="s">
        <v>14</v>
      </c>
      <c r="C67" s="8"/>
      <c r="D67" s="15">
        <v>0.5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2.75">
      <c r="B68" s="8" t="s">
        <v>15</v>
      </c>
      <c r="C68" s="8"/>
      <c r="D68" s="15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12.75">
      <c r="B69" s="8" t="s">
        <v>16</v>
      </c>
      <c r="C69" s="8"/>
      <c r="D69" s="15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2.75">
      <c r="B70" s="11" t="s">
        <v>37</v>
      </c>
      <c r="C70" s="11"/>
      <c r="D70" s="11">
        <f>SUM(D65:D69)</f>
        <v>28.95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2.75">
      <c r="B72" s="8" t="s">
        <v>38</v>
      </c>
      <c r="C72" s="8"/>
      <c r="D72" s="36">
        <f>IF(D70=0," ",1/D70)</f>
        <v>0.03454231433506045</v>
      </c>
      <c r="E72" s="8" t="s">
        <v>158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2.75">
      <c r="B73" s="8"/>
      <c r="C73" s="8"/>
      <c r="D73" s="3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78"/>
      <c r="B74" s="79" t="s">
        <v>202</v>
      </c>
      <c r="C74" s="8"/>
      <c r="D74" s="36"/>
      <c r="E74" s="8"/>
      <c r="F74" s="77"/>
      <c r="G74" s="8"/>
      <c r="H74" s="8"/>
      <c r="I74" s="8"/>
      <c r="J74" s="8"/>
      <c r="K74" s="8"/>
      <c r="L74" s="8"/>
      <c r="M74" s="8"/>
      <c r="N74" s="8"/>
      <c r="O74" s="8"/>
    </row>
    <row r="75" spans="2:15" ht="12.75">
      <c r="B75" s="8" t="s">
        <v>35</v>
      </c>
      <c r="C75" s="8"/>
      <c r="D75" s="15">
        <v>10</v>
      </c>
      <c r="E75" s="8"/>
      <c r="F75" s="77"/>
      <c r="G75" s="8"/>
      <c r="H75" s="8"/>
      <c r="I75" s="8"/>
      <c r="J75" s="8"/>
      <c r="K75" s="8"/>
      <c r="L75" s="8"/>
      <c r="M75" s="8"/>
      <c r="N75" s="8"/>
      <c r="O75" s="8"/>
    </row>
    <row r="76" spans="2:15" ht="12.75">
      <c r="B76" s="8" t="s">
        <v>36</v>
      </c>
      <c r="C76" s="8"/>
      <c r="D76" s="15">
        <f>6*0.075</f>
        <v>0.44999999999999996</v>
      </c>
      <c r="E76" s="8"/>
      <c r="F76" s="77"/>
      <c r="G76" s="8"/>
      <c r="H76" s="8"/>
      <c r="I76" s="8"/>
      <c r="J76" s="8"/>
      <c r="K76" s="8"/>
      <c r="L76" s="8"/>
      <c r="M76" s="8"/>
      <c r="N76" s="8"/>
      <c r="O76" s="8"/>
    </row>
    <row r="77" spans="2:15" ht="12.75">
      <c r="B77" s="8" t="s">
        <v>14</v>
      </c>
      <c r="C77" s="8"/>
      <c r="D77" s="15">
        <v>0.5</v>
      </c>
      <c r="E77" s="8"/>
      <c r="F77" s="77"/>
      <c r="G77" s="8"/>
      <c r="H77" s="8"/>
      <c r="I77" s="8"/>
      <c r="J77" s="8"/>
      <c r="K77" s="8"/>
      <c r="L77" s="8"/>
      <c r="M77" s="8"/>
      <c r="N77" s="8"/>
      <c r="O77" s="8"/>
    </row>
    <row r="78" spans="2:15" ht="12.75">
      <c r="B78" s="11" t="s">
        <v>37</v>
      </c>
      <c r="C78" s="11"/>
      <c r="D78" s="11">
        <f>SUM(D75:D77)</f>
        <v>10.95</v>
      </c>
      <c r="E78" s="8"/>
      <c r="F78" s="77"/>
      <c r="G78" s="8"/>
      <c r="H78" s="8"/>
      <c r="I78" s="8"/>
      <c r="J78" s="8"/>
      <c r="K78" s="8"/>
      <c r="L78" s="8"/>
      <c r="M78" s="8"/>
      <c r="N78" s="8"/>
      <c r="O78" s="8"/>
    </row>
    <row r="79" spans="2:15" ht="12.75">
      <c r="B79" s="8"/>
      <c r="C79" s="8"/>
      <c r="D79" s="52"/>
      <c r="E79" s="8"/>
      <c r="F79" s="77"/>
      <c r="G79" s="8"/>
      <c r="H79" s="8"/>
      <c r="I79" s="8"/>
      <c r="J79" s="8"/>
      <c r="K79" s="8"/>
      <c r="L79" s="8"/>
      <c r="M79" s="8"/>
      <c r="N79" s="8"/>
      <c r="O79" s="8"/>
    </row>
    <row r="80" spans="2:15" ht="12.75">
      <c r="B80" s="8" t="s">
        <v>38</v>
      </c>
      <c r="C80" s="8"/>
      <c r="D80" s="36">
        <f>IF(D78=0," ",1/D78)</f>
        <v>0.09132420091324202</v>
      </c>
      <c r="E80" s="8" t="s">
        <v>158</v>
      </c>
      <c r="F80" s="77"/>
      <c r="G80" s="8"/>
      <c r="H80" s="8"/>
      <c r="I80" s="8"/>
      <c r="J80" s="8"/>
      <c r="K80" s="8"/>
      <c r="L80" s="8"/>
      <c r="M80" s="8"/>
      <c r="N80" s="8"/>
      <c r="O80" s="8"/>
    </row>
    <row r="81" spans="1:15" ht="13.5" thickBo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8"/>
      <c r="L81" s="8"/>
      <c r="M81" s="8"/>
      <c r="N81" s="8"/>
      <c r="O81" s="8"/>
    </row>
    <row r="82" spans="2:15" ht="13.5" thickTop="1">
      <c r="B82" s="8"/>
      <c r="C82" s="8"/>
      <c r="D82" s="3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>
        <v>1</v>
      </c>
      <c r="B83" s="9" t="s">
        <v>39</v>
      </c>
      <c r="C83" s="9"/>
      <c r="D83" s="36">
        <f>D18*D39</f>
        <v>33.407682775712516</v>
      </c>
      <c r="E83" s="8" t="s">
        <v>164</v>
      </c>
      <c r="F83" s="23" t="s">
        <v>165</v>
      </c>
      <c r="G83" s="8"/>
      <c r="H83" s="8"/>
      <c r="I83" s="8"/>
      <c r="J83" s="8"/>
      <c r="K83" s="8"/>
      <c r="L83" s="8"/>
      <c r="M83" s="8"/>
      <c r="N83" s="8"/>
      <c r="O83" s="8"/>
    </row>
    <row r="84" spans="2:15" ht="12.75"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>
        <v>2</v>
      </c>
      <c r="B85" s="9" t="s">
        <v>40</v>
      </c>
      <c r="C85" s="9"/>
      <c r="D85" s="13">
        <f>D21*D52</f>
        <v>17.497928748964373</v>
      </c>
      <c r="E85" s="8" t="s">
        <v>164</v>
      </c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75"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>
        <v>3</v>
      </c>
      <c r="B87" s="9" t="s">
        <v>41</v>
      </c>
      <c r="C87" s="9"/>
      <c r="D87" s="51">
        <f>D22*0.018*D25</f>
        <v>160.73999999999998</v>
      </c>
      <c r="E87" s="8" t="s">
        <v>164</v>
      </c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75"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3.5" thickBot="1">
      <c r="A89">
        <v>4</v>
      </c>
      <c r="B89" s="53" t="s">
        <v>121</v>
      </c>
      <c r="C89" s="53"/>
      <c r="D89" s="16">
        <f>D9*D14</f>
        <v>130.68</v>
      </c>
      <c r="E89" s="8" t="s">
        <v>164</v>
      </c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75"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>
        <v>5</v>
      </c>
      <c r="B91" s="9" t="s">
        <v>42</v>
      </c>
      <c r="C91" s="9"/>
      <c r="D91" s="13">
        <f>SUM(D83:D90)</f>
        <v>342.3256115246769</v>
      </c>
      <c r="E91" s="8" t="s">
        <v>164</v>
      </c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s="2" customFormat="1" ht="13.5" thickBot="1">
      <c r="B93" s="53" t="s">
        <v>43</v>
      </c>
      <c r="C93" s="53"/>
      <c r="D93" s="54">
        <f>D91*24</f>
        <v>8215.814676592247</v>
      </c>
      <c r="E93" s="8" t="s">
        <v>169</v>
      </c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75">
      <c r="B95" s="8" t="s">
        <v>45</v>
      </c>
      <c r="C95" s="8"/>
      <c r="D95" s="15">
        <v>16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75">
      <c r="B96" s="8" t="s">
        <v>44</v>
      </c>
      <c r="C96" s="8"/>
      <c r="D96" s="13">
        <f>-D12*(D14-D62)*D95</f>
        <v>-913.9086294416244</v>
      </c>
      <c r="E96" s="8" t="s">
        <v>169</v>
      </c>
      <c r="F96" s="23" t="s">
        <v>170</v>
      </c>
      <c r="G96" s="8"/>
      <c r="H96" s="8"/>
      <c r="I96" s="8"/>
      <c r="J96" s="8"/>
      <c r="K96" s="8"/>
      <c r="L96" s="8"/>
      <c r="M96" s="8"/>
      <c r="N96" s="8"/>
      <c r="O96" s="8"/>
    </row>
    <row r="97" spans="2:15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>
        <v>6</v>
      </c>
      <c r="B98" s="8" t="s">
        <v>126</v>
      </c>
      <c r="C98" s="8"/>
      <c r="D98" s="55">
        <f>D93+D96</f>
        <v>7301.906047150622</v>
      </c>
      <c r="E98" s="8" t="s">
        <v>169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>
      <c r="A101">
        <v>7</v>
      </c>
      <c r="B101" s="8" t="s">
        <v>203</v>
      </c>
      <c r="C101" s="8"/>
      <c r="D101" s="37">
        <f>(D19*D72+D20*D80)*20</f>
        <v>2195.9448269335417</v>
      </c>
      <c r="E101" s="8" t="s">
        <v>171</v>
      </c>
      <c r="F101" s="77" t="s">
        <v>204</v>
      </c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75">
      <c r="B103" s="8" t="s">
        <v>173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>
        <v>8</v>
      </c>
      <c r="B104" s="8" t="s">
        <v>46</v>
      </c>
      <c r="C104" s="8"/>
      <c r="D104" s="12">
        <f>E7/E19</f>
        <v>0.1503267973856209</v>
      </c>
      <c r="E104" s="56" t="s">
        <v>174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75">
      <c r="B106" s="8"/>
      <c r="C106" s="8"/>
      <c r="D106" s="8"/>
      <c r="E106" s="8"/>
      <c r="F106" s="8" t="s">
        <v>92</v>
      </c>
      <c r="G106" s="8"/>
      <c r="H106" s="8"/>
      <c r="I106" s="38" t="s">
        <v>47</v>
      </c>
      <c r="J106" s="8"/>
      <c r="K106" s="8"/>
      <c r="L106" s="8"/>
      <c r="M106" s="8"/>
      <c r="N106" s="8"/>
      <c r="O106" s="8"/>
    </row>
    <row r="107" spans="3:15" ht="24.75" customHeight="1" thickBot="1">
      <c r="C107" s="8" t="s">
        <v>70</v>
      </c>
      <c r="D107" s="8" t="s">
        <v>80</v>
      </c>
      <c r="E107" s="8" t="s">
        <v>78</v>
      </c>
      <c r="F107" s="8" t="s">
        <v>72</v>
      </c>
      <c r="G107" s="8" t="s">
        <v>73</v>
      </c>
      <c r="H107" s="8" t="s">
        <v>175</v>
      </c>
      <c r="I107" s="8" t="s">
        <v>93</v>
      </c>
      <c r="J107" s="8" t="s">
        <v>193</v>
      </c>
      <c r="K107" s="8" t="s">
        <v>94</v>
      </c>
      <c r="L107" s="5" t="s">
        <v>122</v>
      </c>
      <c r="M107" s="5" t="s">
        <v>96</v>
      </c>
      <c r="N107" s="57" t="s">
        <v>97</v>
      </c>
      <c r="O107" s="23" t="s">
        <v>176</v>
      </c>
    </row>
    <row r="108" spans="3:15" ht="12.75">
      <c r="C108" s="25" t="s">
        <v>81</v>
      </c>
      <c r="D108" s="39">
        <v>30</v>
      </c>
      <c r="E108" s="42">
        <f>D$5*'extra data'!Z$18*Caculations!D108</f>
        <v>818640</v>
      </c>
      <c r="F108" s="42">
        <f>$D7*'extra data'!AA$18*Caculations!D108</f>
        <v>11159280</v>
      </c>
      <c r="G108" s="42">
        <f>D$6*'extra data'!AB$18*Caculations!D108</f>
        <v>1546320</v>
      </c>
      <c r="H108" s="42">
        <f>SUM(E108:G108)</f>
        <v>13524240</v>
      </c>
      <c r="I108" s="45">
        <v>0.51</v>
      </c>
      <c r="J108" s="39">
        <f>$D$15</f>
        <v>0.88</v>
      </c>
      <c r="K108" s="39">
        <v>1</v>
      </c>
      <c r="L108" s="29">
        <f>H108*I108*J108*K108</f>
        <v>6069678.9120000005</v>
      </c>
      <c r="M108" s="29">
        <f>D$98*'extra data'!B21+(D$101*24*D108)</f>
        <v>3092574.8271523286</v>
      </c>
      <c r="N108" s="30">
        <f aca="true" t="shared" si="0" ref="N108:N116">IF(L108&gt;M108,0,M108-L108)</f>
        <v>0</v>
      </c>
      <c r="O108" s="8"/>
    </row>
    <row r="109" spans="3:15" ht="12.75">
      <c r="C109" s="26" t="s">
        <v>82</v>
      </c>
      <c r="D109" s="40">
        <v>31</v>
      </c>
      <c r="E109" s="43">
        <f>D$5*'extra data'!AC$18*Caculations!D$109</f>
        <v>637236</v>
      </c>
      <c r="F109" s="43">
        <f>D$7*'extra data'!AD$18*Caculations!$D109</f>
        <v>12848880</v>
      </c>
      <c r="G109" s="43">
        <f>D$6*'extra data'!AE$18*Caculations!D$109</f>
        <v>1203668</v>
      </c>
      <c r="H109" s="43">
        <f aca="true" t="shared" si="1" ref="H109:H116">SUM(E109:G109)</f>
        <v>14689784</v>
      </c>
      <c r="I109" s="46">
        <v>0.43</v>
      </c>
      <c r="J109" s="40">
        <f aca="true" t="shared" si="2" ref="J109:J116">$D$15</f>
        <v>0.88</v>
      </c>
      <c r="K109" s="40">
        <v>1</v>
      </c>
      <c r="L109" s="31">
        <f aca="true" t="shared" si="3" ref="L109:L116">H109*I109*J109*K109</f>
        <v>5558614.2656000005</v>
      </c>
      <c r="M109" s="31">
        <f>D$98*'extra data'!B22+(D$101*24*D109)</f>
        <v>5569510.31065274</v>
      </c>
      <c r="N109" s="32">
        <f t="shared" si="0"/>
        <v>10896.045052739792</v>
      </c>
      <c r="O109" s="8"/>
    </row>
    <row r="110" spans="3:15" ht="12.75">
      <c r="C110" s="26" t="s">
        <v>83</v>
      </c>
      <c r="D110" s="40">
        <v>30</v>
      </c>
      <c r="E110" s="43">
        <f>D$5*'extra data'!AF18*Caculations!$D110</f>
        <v>407700</v>
      </c>
      <c r="F110" s="43">
        <f>D$7*'extra data'!AG18*Caculations!$D110</f>
        <v>11753280</v>
      </c>
      <c r="G110" s="43">
        <f>D$6*'extra data'!AH18*Caculations!$D110</f>
        <v>770100</v>
      </c>
      <c r="H110" s="43">
        <f t="shared" si="1"/>
        <v>12931080</v>
      </c>
      <c r="I110" s="46">
        <v>0.25</v>
      </c>
      <c r="J110" s="40">
        <f t="shared" si="2"/>
        <v>0.88</v>
      </c>
      <c r="K110" s="40">
        <v>1</v>
      </c>
      <c r="L110" s="31">
        <f t="shared" si="3"/>
        <v>2844837.6</v>
      </c>
      <c r="M110" s="31">
        <f>D$98*'extra data'!B23+(D$101*24*D110)</f>
        <v>8087078.563403355</v>
      </c>
      <c r="N110" s="32">
        <f t="shared" si="0"/>
        <v>5242240.963403355</v>
      </c>
      <c r="O110" s="8"/>
    </row>
    <row r="111" spans="3:15" ht="12.75">
      <c r="C111" s="26" t="s">
        <v>84</v>
      </c>
      <c r="D111" s="40">
        <v>31</v>
      </c>
      <c r="E111" s="43">
        <f>$D$5*'extra data'!AI18*Caculations!$D111</f>
        <v>338706</v>
      </c>
      <c r="F111" s="73">
        <f>$D7*'extra data'!AJ$18*Caculations!$D111</f>
        <v>11383944</v>
      </c>
      <c r="G111" s="73">
        <f>$D6*'extra data'!AK$18*Caculations!$D111</f>
        <v>639778</v>
      </c>
      <c r="H111" s="43">
        <f t="shared" si="1"/>
        <v>12362428</v>
      </c>
      <c r="I111" s="46">
        <v>0.24</v>
      </c>
      <c r="J111" s="40">
        <f t="shared" si="2"/>
        <v>0.88</v>
      </c>
      <c r="K111" s="40">
        <v>1</v>
      </c>
      <c r="L111" s="31">
        <f t="shared" si="3"/>
        <v>2610944.7936</v>
      </c>
      <c r="M111" s="31">
        <f>D$98*'extra data'!B24+(D$101*24*D111)</f>
        <v>11484054.208844744</v>
      </c>
      <c r="N111" s="32">
        <f t="shared" si="0"/>
        <v>8873109.415244743</v>
      </c>
      <c r="O111" s="8"/>
    </row>
    <row r="112" spans="3:15" ht="12.75">
      <c r="C112" s="26" t="s">
        <v>85</v>
      </c>
      <c r="D112" s="40">
        <v>31</v>
      </c>
      <c r="E112" s="43">
        <f>$D$5*'extra data'!B18*Caculations!$D112</f>
        <v>428544</v>
      </c>
      <c r="F112" s="43">
        <f>$D$7*'extra data'!C18*Caculations!$D112</f>
        <v>12390576</v>
      </c>
      <c r="G112" s="43">
        <f>$D$6*'extra data'!D18*Caculations!$D112</f>
        <v>809472</v>
      </c>
      <c r="H112" s="43">
        <f t="shared" si="1"/>
        <v>13628592</v>
      </c>
      <c r="I112" s="46">
        <v>0.34</v>
      </c>
      <c r="J112" s="40">
        <f t="shared" si="2"/>
        <v>0.88</v>
      </c>
      <c r="K112" s="40">
        <v>1</v>
      </c>
      <c r="L112" s="31">
        <f t="shared" si="3"/>
        <v>4077674.7264</v>
      </c>
      <c r="M112" s="31">
        <f>D$98*'extra data'!B25+(D$101*24*D112)</f>
        <v>12681566.800577447</v>
      </c>
      <c r="N112" s="32">
        <f t="shared" si="0"/>
        <v>8603892.074177448</v>
      </c>
      <c r="O112" s="8"/>
    </row>
    <row r="113" spans="3:15" ht="12.75">
      <c r="C113" s="26" t="s">
        <v>86</v>
      </c>
      <c r="D113" s="40">
        <v>28</v>
      </c>
      <c r="E113" s="43">
        <f>$D$5*'extra data'!E18*Caculations!$D113</f>
        <v>599256</v>
      </c>
      <c r="F113" s="43">
        <f>$D$7*'extra data'!F18*Caculations!$D113</f>
        <v>12078528</v>
      </c>
      <c r="G113" s="43">
        <f>$D$6*'extra data'!G18*Caculations!$D113</f>
        <v>1131928</v>
      </c>
      <c r="H113" s="43">
        <f t="shared" si="1"/>
        <v>13809712</v>
      </c>
      <c r="I113" s="46">
        <v>0.43</v>
      </c>
      <c r="J113" s="40">
        <f t="shared" si="2"/>
        <v>0.88</v>
      </c>
      <c r="K113" s="40">
        <v>1</v>
      </c>
      <c r="L113" s="31">
        <f t="shared" si="3"/>
        <v>5225595.0208</v>
      </c>
      <c r="M113" s="31">
        <f>D$98*'extra data'!B26+(D$101*24*D113)</f>
        <v>11209115.684551118</v>
      </c>
      <c r="N113" s="32">
        <f t="shared" si="0"/>
        <v>5983520.663751118</v>
      </c>
      <c r="O113" s="8"/>
    </row>
    <row r="114" spans="3:15" ht="12.75">
      <c r="C114" s="26" t="s">
        <v>87</v>
      </c>
      <c r="D114" s="40">
        <v>31</v>
      </c>
      <c r="E114" s="43">
        <f>$D$5*'extra data'!H18*Caculations!$D114</f>
        <v>896706</v>
      </c>
      <c r="F114" s="43">
        <f>$D$7*'extra data'!I18*Caculations!$D114</f>
        <v>11956824</v>
      </c>
      <c r="G114" s="43">
        <f>$D$6*'extra data'!J18*Caculations!$D114</f>
        <v>1693778</v>
      </c>
      <c r="H114" s="43">
        <f t="shared" si="1"/>
        <v>14547308</v>
      </c>
      <c r="I114" s="46">
        <v>0.48</v>
      </c>
      <c r="J114" s="40">
        <f t="shared" si="2"/>
        <v>0.88</v>
      </c>
      <c r="K114" s="40">
        <v>1</v>
      </c>
      <c r="L114" s="31">
        <f t="shared" si="3"/>
        <v>6144782.8992</v>
      </c>
      <c r="M114" s="31">
        <f>D$98*'extra data'!B27+(D$101*24*D114)</f>
        <v>10301145.429206342</v>
      </c>
      <c r="N114" s="32">
        <f t="shared" si="0"/>
        <v>4156362.5300063416</v>
      </c>
      <c r="O114" s="8"/>
    </row>
    <row r="115" spans="3:15" ht="12.75">
      <c r="C115" s="26" t="s">
        <v>88</v>
      </c>
      <c r="D115" s="40">
        <v>30</v>
      </c>
      <c r="E115" s="43">
        <f>$D$5*'extra data'!K18*Caculations!$D115</f>
        <v>1033560</v>
      </c>
      <c r="F115" s="43">
        <f>$D$7*'extra data'!L18*Caculations!$D115</f>
        <v>8656560</v>
      </c>
      <c r="G115" s="43">
        <f>$D$6*'extra data'!M18*Caculations!$D115</f>
        <v>1952280</v>
      </c>
      <c r="H115" s="43">
        <f t="shared" si="1"/>
        <v>11642400</v>
      </c>
      <c r="I115" s="46">
        <v>0.47</v>
      </c>
      <c r="J115" s="40">
        <f t="shared" si="2"/>
        <v>0.88</v>
      </c>
      <c r="K115" s="40">
        <v>1</v>
      </c>
      <c r="L115" s="31">
        <f t="shared" si="3"/>
        <v>4815296.64</v>
      </c>
      <c r="M115" s="31">
        <f>D$98*'extra data'!B28+(D$101*24*D115)</f>
        <v>6794641.193057694</v>
      </c>
      <c r="N115" s="32">
        <f t="shared" si="0"/>
        <v>1979344.5530576939</v>
      </c>
      <c r="O115" s="8"/>
    </row>
    <row r="116" spans="3:15" ht="13.5" thickBot="1">
      <c r="C116" s="27" t="s">
        <v>52</v>
      </c>
      <c r="D116" s="41">
        <v>31</v>
      </c>
      <c r="E116" s="44">
        <f>$D$5*'extra data'!N18*Caculations!$D116</f>
        <v>1165662</v>
      </c>
      <c r="F116" s="44">
        <f>$D$7*'extra data'!O18*Caculations!$D116</f>
        <v>6882744</v>
      </c>
      <c r="G116" s="44">
        <f>$D$6*'extra data'!P18*Caculations!$D116</f>
        <v>2201806</v>
      </c>
      <c r="H116" s="44">
        <f t="shared" si="1"/>
        <v>10250212</v>
      </c>
      <c r="I116" s="47">
        <v>0.53</v>
      </c>
      <c r="J116" s="41">
        <f t="shared" si="2"/>
        <v>0.88</v>
      </c>
      <c r="K116" s="41">
        <v>1</v>
      </c>
      <c r="L116" s="33">
        <f t="shared" si="3"/>
        <v>4780698.876800001</v>
      </c>
      <c r="M116" s="33">
        <f>D$98*'extra data'!B29+(D$101*24*D116)</f>
        <v>4211355.785882724</v>
      </c>
      <c r="N116" s="34">
        <f t="shared" si="0"/>
        <v>0</v>
      </c>
      <c r="O116" s="8"/>
    </row>
    <row r="117" spans="3:15" ht="12.75">
      <c r="C117" s="35" t="s">
        <v>129</v>
      </c>
      <c r="D117" s="8"/>
      <c r="E117" s="8"/>
      <c r="F117" s="8"/>
      <c r="G117" s="8"/>
      <c r="H117" s="8"/>
      <c r="I117" s="8"/>
      <c r="J117" s="8"/>
      <c r="K117" s="8"/>
      <c r="L117" s="28">
        <f>SUM(L108:L116)</f>
        <v>42128123.7344</v>
      </c>
      <c r="M117" s="28">
        <f>SUM(M108:M116)</f>
        <v>73431042.8033285</v>
      </c>
      <c r="N117" s="75">
        <f>SUM(N108:N116)</f>
        <v>34849366.24469344</v>
      </c>
      <c r="O117" s="8"/>
    </row>
    <row r="118" spans="2:15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N118" s="8"/>
      <c r="O118" s="8"/>
    </row>
    <row r="119" spans="2:15" ht="15.75">
      <c r="B119" s="76" t="s">
        <v>198</v>
      </c>
      <c r="D119" s="74">
        <f>N117/1000000</f>
        <v>34.84936624469344</v>
      </c>
      <c r="E119" s="8" t="s">
        <v>197</v>
      </c>
      <c r="F119" s="8"/>
      <c r="G119" s="8"/>
      <c r="H119" s="8"/>
      <c r="I119" s="8"/>
      <c r="J119" s="8"/>
      <c r="K119" s="8"/>
      <c r="N119" s="8"/>
      <c r="O119" s="8"/>
    </row>
    <row r="120" spans="2:15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N120" s="8"/>
      <c r="O120" s="8"/>
    </row>
    <row r="121" spans="2:15" ht="13.5" thickBot="1">
      <c r="B121" s="8"/>
      <c r="C121" s="8"/>
      <c r="D121" s="16" t="s">
        <v>127</v>
      </c>
      <c r="E121" s="8"/>
      <c r="F121" s="8"/>
      <c r="G121" s="8"/>
      <c r="H121" s="8"/>
      <c r="I121" s="8"/>
      <c r="J121" s="8"/>
      <c r="K121" s="8"/>
      <c r="N121" s="8"/>
      <c r="O121" s="8"/>
    </row>
    <row r="122" spans="2:15" ht="12.75">
      <c r="B122" s="8" t="s">
        <v>100</v>
      </c>
      <c r="C122" s="8"/>
      <c r="D122" s="17">
        <v>0.7</v>
      </c>
      <c r="E122" s="8"/>
      <c r="F122" s="8"/>
      <c r="G122" s="8"/>
      <c r="K122" s="8"/>
      <c r="L122" s="8"/>
      <c r="M122" s="8"/>
      <c r="N122" s="8"/>
      <c r="O122" s="8"/>
    </row>
    <row r="123" spans="2:15" ht="12.75">
      <c r="B123" s="8" t="s">
        <v>101</v>
      </c>
      <c r="C123" s="8"/>
      <c r="D123" s="17">
        <v>0.75</v>
      </c>
      <c r="E123" s="8"/>
      <c r="F123" s="8"/>
      <c r="G123" s="8"/>
      <c r="K123" s="8"/>
      <c r="L123" s="8"/>
      <c r="M123" s="8"/>
      <c r="N123" s="8"/>
      <c r="O123" s="8"/>
    </row>
    <row r="124" spans="2:15" ht="12.75">
      <c r="B124" s="8" t="s">
        <v>102</v>
      </c>
      <c r="C124" s="8"/>
      <c r="D124" s="17">
        <v>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2.75">
      <c r="B125" s="8" t="s">
        <v>103</v>
      </c>
      <c r="C125" s="8"/>
      <c r="D125" s="17">
        <v>0.85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1.2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28.5" customHeight="1" thickBot="1">
      <c r="B127" s="8"/>
      <c r="C127" s="8"/>
      <c r="D127" s="59" t="s">
        <v>177</v>
      </c>
      <c r="E127" s="16" t="s">
        <v>107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2.75">
      <c r="B128" s="8" t="s">
        <v>104</v>
      </c>
      <c r="C128" s="8"/>
      <c r="D128" s="58">
        <f>(($D$93/24*(72-$D$23)+$D$101)/D122)</f>
        <v>43238.06424565293</v>
      </c>
      <c r="E128" s="20">
        <f>N$117/98000</f>
        <v>355.60577800707597</v>
      </c>
      <c r="F128" s="8" t="s">
        <v>124</v>
      </c>
      <c r="G128" s="8"/>
      <c r="H128" s="23" t="s">
        <v>178</v>
      </c>
      <c r="I128" s="8"/>
      <c r="J128" s="8"/>
      <c r="K128" s="8"/>
      <c r="L128" s="8"/>
      <c r="M128" s="8"/>
      <c r="N128" s="8"/>
      <c r="O128" s="8"/>
    </row>
    <row r="129" spans="2:15" ht="12.75">
      <c r="B129" s="8" t="s">
        <v>105</v>
      </c>
      <c r="C129" s="8"/>
      <c r="D129" s="58">
        <f>(($D$93/24*(72-$D$23)+$D$101)/D123)</f>
        <v>40355.52662927607</v>
      </c>
      <c r="E129" s="20">
        <f>N$117/68625</f>
        <v>507.82318753651646</v>
      </c>
      <c r="F129" s="8" t="s">
        <v>124</v>
      </c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2.75">
      <c r="B130" s="8" t="s">
        <v>106</v>
      </c>
      <c r="C130" s="8"/>
      <c r="D130" s="58">
        <f>(($D$93/24*(72-$D$23)+$D$101)/D124)</f>
        <v>30266.644971957052</v>
      </c>
      <c r="E130" s="66">
        <f>N$117/3415</f>
        <v>10204.792458182561</v>
      </c>
      <c r="F130" s="8" t="s">
        <v>123</v>
      </c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2.75">
      <c r="B131" s="8" t="s">
        <v>103</v>
      </c>
      <c r="C131" s="8"/>
      <c r="D131" s="58">
        <f>((AVERAGE(D93,D98)/24*(72-$D$23)+$D$101)/D125)</f>
        <v>33771.040466659935</v>
      </c>
      <c r="E131" s="19">
        <f>N$117/17000000</f>
        <v>2.049962720276085</v>
      </c>
      <c r="F131" s="8" t="s">
        <v>125</v>
      </c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5" ht="13.5" thickBot="1">
      <c r="B134" s="8" t="s">
        <v>98</v>
      </c>
      <c r="C134" s="8"/>
      <c r="E134" s="21">
        <f>(N117/M117)</f>
        <v>0.474586290950968</v>
      </c>
    </row>
    <row r="135" spans="2:5" ht="16.5" thickBot="1">
      <c r="B135" s="8" t="s">
        <v>99</v>
      </c>
      <c r="C135" s="8"/>
      <c r="E135" s="22">
        <f>1-E134</f>
        <v>0.5254137090490321</v>
      </c>
    </row>
    <row r="138" spans="1:2" ht="15.75">
      <c r="A138">
        <v>8</v>
      </c>
      <c r="B138" s="61" t="s">
        <v>179</v>
      </c>
    </row>
    <row r="140" spans="1:3" ht="12.75">
      <c r="A140">
        <v>1</v>
      </c>
      <c r="B140" t="s">
        <v>180</v>
      </c>
      <c r="C140" s="60">
        <f>L113/(I113*D113)</f>
        <v>434019.52</v>
      </c>
    </row>
    <row r="141" ht="12.75">
      <c r="C141" s="60"/>
    </row>
    <row r="142" spans="1:4" ht="12.75">
      <c r="A142">
        <v>2</v>
      </c>
      <c r="B142" t="s">
        <v>194</v>
      </c>
      <c r="C142" s="64">
        <v>29.4</v>
      </c>
      <c r="D142" s="70" t="s">
        <v>195</v>
      </c>
    </row>
    <row r="143" spans="2:4" ht="12.75">
      <c r="B143" t="s">
        <v>181</v>
      </c>
      <c r="C143" s="60">
        <f>(D98/24)*(68-C142)*10+D101*10</f>
        <v>139398.43719434124</v>
      </c>
      <c r="D143" t="s">
        <v>182</v>
      </c>
    </row>
    <row r="145" spans="1:4" ht="12.75">
      <c r="A145">
        <v>3</v>
      </c>
      <c r="B145" t="s">
        <v>183</v>
      </c>
      <c r="C145" s="62">
        <f>C140-C143</f>
        <v>294621.0828056588</v>
      </c>
      <c r="D145" t="s">
        <v>182</v>
      </c>
    </row>
    <row r="147" spans="1:4" ht="12.75">
      <c r="A147">
        <v>4</v>
      </c>
      <c r="B147" t="s">
        <v>184</v>
      </c>
      <c r="C147" s="63">
        <f>C145/(30*8)</f>
        <v>1227.5878450235784</v>
      </c>
      <c r="D147" t="s">
        <v>185</v>
      </c>
    </row>
    <row r="149" spans="1:4" ht="12.75">
      <c r="A149">
        <v>5</v>
      </c>
      <c r="B149" t="s">
        <v>186</v>
      </c>
      <c r="C149" s="64">
        <v>2112</v>
      </c>
      <c r="D149" t="s">
        <v>187</v>
      </c>
    </row>
    <row r="150" ht="13.5" thickBot="1"/>
    <row r="151" spans="2:4" ht="13.5" thickBot="1">
      <c r="B151" t="s">
        <v>188</v>
      </c>
      <c r="C151" s="65">
        <f>(C147/(0.85*C149))*12</f>
        <v>8.205801103098786</v>
      </c>
      <c r="D151" t="s">
        <v>190</v>
      </c>
    </row>
    <row r="153" spans="2:4" ht="23.25" customHeight="1">
      <c r="B153" s="5" t="s">
        <v>196</v>
      </c>
      <c r="C153" s="67">
        <f>IF(C151&lt;6,0,C151-6)</f>
        <v>2.2058011030987856</v>
      </c>
      <c r="D153" t="s">
        <v>189</v>
      </c>
    </row>
  </sheetData>
  <printOptions/>
  <pageMargins left="0.75" right="0.75" top="1" bottom="1" header="0.5" footer="0.5"/>
  <pageSetup horizontalDpi="300" verticalDpi="300" orientation="portrait" r:id="rId3"/>
  <ignoredErrors>
    <ignoredError sqref="D50 D91 L117" emptyCellReferenc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 Beideck</cp:lastModifiedBy>
  <dcterms:created xsi:type="dcterms:W3CDTF">2004-02-06T04:03:18Z</dcterms:created>
  <dcterms:modified xsi:type="dcterms:W3CDTF">2007-11-20T16:25:54Z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742352266</vt:i4>
  </property>
  <property fmtid="{D5CDD505-2E9C-101B-9397-08002B2CF9AE}" pid="4" name="_EmailSubje">
    <vt:lpwstr>kachadorian spreadsheet update</vt:lpwstr>
  </property>
  <property fmtid="{D5CDD505-2E9C-101B-9397-08002B2CF9AE}" pid="5" name="_AuthorEma">
    <vt:lpwstr>Dan.Beideck@vtmednet.org</vt:lpwstr>
  </property>
  <property fmtid="{D5CDD505-2E9C-101B-9397-08002B2CF9AE}" pid="6" name="_AuthorEmailDisplayNa">
    <vt:lpwstr>Beideck, Daniel</vt:lpwstr>
  </property>
</Properties>
</file>