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610"/>
  <workbookPr showInkAnnotation="0" checkCompatibility="1" autoCompressPictures="0"/>
  <mc:AlternateContent xmlns:mc="http://schemas.openxmlformats.org/markup-compatibility/2006">
    <mc:Choice Requires="x15">
      <x15ac:absPath xmlns:x15ac="http://schemas.microsoft.com/office/spreadsheetml/2010/11/ac" url="/Users/ericahouskeeper/Desktop/"/>
    </mc:Choice>
  </mc:AlternateContent>
  <bookViews>
    <workbookView xWindow="520" yWindow="1200" windowWidth="27320" windowHeight="13860" tabRatio="910"/>
  </bookViews>
  <sheets>
    <sheet name="GPI Summary" sheetId="44" r:id="rId1"/>
    <sheet name="GPI Rank v GSP Rank" sheetId="49" r:id="rId2"/>
    <sheet name="GPI Summary Per Capita" sheetId="48" r:id="rId3"/>
    <sheet name="GPI Per Capita Graphs" sheetId="45" r:id="rId4"/>
    <sheet name="US GPI Pie Charts" sheetId="46" r:id="rId5"/>
    <sheet name="Benefit of PCE" sheetId="2" r:id="rId6"/>
    <sheet name="Cost of Inequality" sheetId="43" r:id="rId7"/>
    <sheet name="Benefit of Consumer Durables" sheetId="10" r:id="rId8"/>
    <sheet name="Cost Consumer Durables" sheetId="12" r:id="rId9"/>
    <sheet name="Cost Underemployment" sheetId="19" r:id="rId10"/>
    <sheet name="Benefit Net Cap Invest" sheetId="23" r:id="rId11"/>
    <sheet name="Cost Water Pollution" sheetId="36" r:id="rId12"/>
    <sheet name="Cost Air Pollution" sheetId="20" r:id="rId13"/>
    <sheet name="Cost Noise Pollution" sheetId="21" r:id="rId14"/>
    <sheet name="Cost Wetland Change" sheetId="22" r:id="rId15"/>
    <sheet name="Cost Net Farmland Change" sheetId="31" r:id="rId16"/>
    <sheet name="Cost Net Forest Change" sheetId="15" r:id="rId17"/>
    <sheet name="Cost Climate Change" sheetId="24" r:id="rId18"/>
    <sheet name="Cost Ozone Depletion" sheetId="37" r:id="rId19"/>
    <sheet name="Cost Nonrenewable Depletion" sheetId="38" r:id="rId20"/>
    <sheet name="Value Housework" sheetId="33" r:id="rId21"/>
    <sheet name="Cost Family Breakdown" sheetId="25" r:id="rId22"/>
    <sheet name="Cost Crime" sheetId="35" r:id="rId23"/>
    <sheet name="Cost Personal Pollution Abate" sheetId="29" r:id="rId24"/>
    <sheet name="Value Volunteer Work" sheetId="39" r:id="rId25"/>
    <sheet name="Cost Lost Leisure" sheetId="34" r:id="rId26"/>
    <sheet name="Value Higher Ed" sheetId="16" r:id="rId27"/>
    <sheet name="Services Highway Streets" sheetId="17" r:id="rId28"/>
    <sheet name="Cost Commuting" sheetId="18" r:id="rId29"/>
    <sheet name="Cost Motor Vehicle Crashes" sheetId="27" r:id="rId30"/>
  </sheets>
  <definedNames>
    <definedName name="_xlnm._FilterDatabase" localSheetId="4" hidden="1">'US GPI Pie Charts'!$A$4:$E$29</definedName>
    <definedName name="AverageWageCase">'GPI Summary'!$B$44</definedName>
    <definedName name="AverageWageRate">'GPI Summary'!$C$42:$BA$42</definedName>
    <definedName name="CDBenefitCase">'Benefit of Consumer Durables'!$C$10</definedName>
    <definedName name="CDCostCase">'Cost Consumer Durables'!$D$6</definedName>
    <definedName name="HighEdCase">'Value Higher Ed'!$C$10</definedName>
    <definedName name="HouseworkWageCase">'Value Housework'!$C$19</definedName>
    <definedName name="InequalityCase">'Cost of Inequality'!$C$20</definedName>
    <definedName name="Midwest">'Benefit of Consumer Durables'!$C$28</definedName>
    <definedName name="Northeast">'Benefit of Consumer Durables'!$C$30</definedName>
    <definedName name="OzoneSesitivityFactor">'Cost Ozone Depletion'!$C$14</definedName>
    <definedName name="person">'Cost Consumer Durables'!$E$4</definedName>
    <definedName name="PersonalIncome2011">'Benefit of Consumer Durables'!$E$47:$BB$47</definedName>
    <definedName name="South">'Benefit of Consumer Durables'!$C$32</definedName>
    <definedName name="West">'Benefit of Consumer Durables'!$C$34</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7" i="38" l="1"/>
  <c r="D19" i="38"/>
  <c r="D24" i="38"/>
  <c r="D25" i="38"/>
  <c r="D27" i="38"/>
  <c r="D4" i="38"/>
  <c r="D19" i="44"/>
  <c r="D49" i="44"/>
  <c r="E17" i="38"/>
  <c r="E19" i="38"/>
  <c r="E24" i="38"/>
  <c r="E25" i="38"/>
  <c r="E27" i="38"/>
  <c r="E4" i="38"/>
  <c r="E19" i="44"/>
  <c r="E49" i="44"/>
  <c r="F17" i="38"/>
  <c r="F19" i="38"/>
  <c r="F24" i="38"/>
  <c r="F25" i="38"/>
  <c r="F27" i="38"/>
  <c r="F4" i="38"/>
  <c r="F19" i="44"/>
  <c r="F49" i="44"/>
  <c r="G17" i="38"/>
  <c r="G19" i="38"/>
  <c r="G24" i="38"/>
  <c r="G25" i="38"/>
  <c r="G27" i="38"/>
  <c r="G4" i="38"/>
  <c r="G19" i="44"/>
  <c r="G49" i="44"/>
  <c r="H17" i="38"/>
  <c r="H19" i="38"/>
  <c r="H24" i="38"/>
  <c r="H25" i="38"/>
  <c r="H27" i="38"/>
  <c r="H4" i="38"/>
  <c r="H19" i="44"/>
  <c r="H49" i="44"/>
  <c r="I17" i="38"/>
  <c r="I19" i="38"/>
  <c r="I24" i="38"/>
  <c r="I25" i="38"/>
  <c r="I27" i="38"/>
  <c r="I4" i="38"/>
  <c r="I19" i="44"/>
  <c r="I49" i="44"/>
  <c r="J17" i="38"/>
  <c r="J19" i="38"/>
  <c r="J24" i="38"/>
  <c r="J25" i="38"/>
  <c r="J27" i="38"/>
  <c r="J4" i="38"/>
  <c r="J19" i="44"/>
  <c r="J49" i="44"/>
  <c r="K17" i="38"/>
  <c r="K19" i="38"/>
  <c r="K24" i="38"/>
  <c r="K25" i="38"/>
  <c r="K27" i="38"/>
  <c r="K4" i="38"/>
  <c r="K19" i="44"/>
  <c r="K49" i="44"/>
  <c r="L17" i="38"/>
  <c r="L19" i="38"/>
  <c r="L24" i="38"/>
  <c r="L25" i="38"/>
  <c r="L27" i="38"/>
  <c r="L4" i="38"/>
  <c r="L19" i="44"/>
  <c r="L49" i="44"/>
  <c r="M17" i="38"/>
  <c r="M19" i="38"/>
  <c r="M24" i="38"/>
  <c r="M25" i="38"/>
  <c r="M27" i="38"/>
  <c r="M4" i="38"/>
  <c r="M19" i="44"/>
  <c r="M49" i="44"/>
  <c r="N17" i="38"/>
  <c r="N19" i="38"/>
  <c r="N24" i="38"/>
  <c r="N25" i="38"/>
  <c r="N27" i="38"/>
  <c r="N4" i="38"/>
  <c r="N19" i="44"/>
  <c r="N49" i="44"/>
  <c r="O17" i="38"/>
  <c r="O19" i="38"/>
  <c r="O24" i="38"/>
  <c r="O25" i="38"/>
  <c r="O27" i="38"/>
  <c r="O4" i="38"/>
  <c r="O19" i="44"/>
  <c r="O49" i="44"/>
  <c r="P17" i="38"/>
  <c r="P19" i="38"/>
  <c r="P24" i="38"/>
  <c r="P25" i="38"/>
  <c r="P27" i="38"/>
  <c r="P4" i="38"/>
  <c r="P19" i="44"/>
  <c r="P49" i="44"/>
  <c r="Q17" i="38"/>
  <c r="Q19" i="38"/>
  <c r="Q24" i="38"/>
  <c r="Q25" i="38"/>
  <c r="Q27" i="38"/>
  <c r="Q4" i="38"/>
  <c r="Q19" i="44"/>
  <c r="Q49" i="44"/>
  <c r="R17" i="38"/>
  <c r="R19" i="38"/>
  <c r="R24" i="38"/>
  <c r="R25" i="38"/>
  <c r="R27" i="38"/>
  <c r="R4" i="38"/>
  <c r="R19" i="44"/>
  <c r="R49" i="44"/>
  <c r="S17" i="38"/>
  <c r="S19" i="38"/>
  <c r="S24" i="38"/>
  <c r="S25" i="38"/>
  <c r="S27" i="38"/>
  <c r="S4" i="38"/>
  <c r="S19" i="44"/>
  <c r="S49" i="44"/>
  <c r="T17" i="38"/>
  <c r="T19" i="38"/>
  <c r="T24" i="38"/>
  <c r="T25" i="38"/>
  <c r="T27" i="38"/>
  <c r="T4" i="38"/>
  <c r="T19" i="44"/>
  <c r="T49" i="44"/>
  <c r="U17" i="38"/>
  <c r="U19" i="38"/>
  <c r="U24" i="38"/>
  <c r="U25" i="38"/>
  <c r="U27" i="38"/>
  <c r="U4" i="38"/>
  <c r="U19" i="44"/>
  <c r="U49" i="44"/>
  <c r="V17" i="38"/>
  <c r="V19" i="38"/>
  <c r="V24" i="38"/>
  <c r="V25" i="38"/>
  <c r="V27" i="38"/>
  <c r="V4" i="38"/>
  <c r="V19" i="44"/>
  <c r="V49" i="44"/>
  <c r="W17" i="38"/>
  <c r="W19" i="38"/>
  <c r="W24" i="38"/>
  <c r="W25" i="38"/>
  <c r="W27" i="38"/>
  <c r="W4" i="38"/>
  <c r="W19" i="44"/>
  <c r="W49" i="44"/>
  <c r="X17" i="38"/>
  <c r="X19" i="38"/>
  <c r="X24" i="38"/>
  <c r="X25" i="38"/>
  <c r="X27" i="38"/>
  <c r="X4" i="38"/>
  <c r="X19" i="44"/>
  <c r="X49" i="44"/>
  <c r="Y17" i="38"/>
  <c r="Y19" i="38"/>
  <c r="Y24" i="38"/>
  <c r="Y25" i="38"/>
  <c r="Y27" i="38"/>
  <c r="Y4" i="38"/>
  <c r="Y19" i="44"/>
  <c r="Y49" i="44"/>
  <c r="Z17" i="38"/>
  <c r="Z19" i="38"/>
  <c r="Z24" i="38"/>
  <c r="Z25" i="38"/>
  <c r="Z27" i="38"/>
  <c r="Z4" i="38"/>
  <c r="Z19" i="44"/>
  <c r="Z49" i="44"/>
  <c r="AA17" i="38"/>
  <c r="AA19" i="38"/>
  <c r="AA24" i="38"/>
  <c r="AA25" i="38"/>
  <c r="AA27" i="38"/>
  <c r="AA4" i="38"/>
  <c r="AA19" i="44"/>
  <c r="AA49" i="44"/>
  <c r="AB17" i="38"/>
  <c r="AB19" i="38"/>
  <c r="AB24" i="38"/>
  <c r="AB25" i="38"/>
  <c r="AB27" i="38"/>
  <c r="AB4" i="38"/>
  <c r="AB19" i="44"/>
  <c r="AB49" i="44"/>
  <c r="AC17" i="38"/>
  <c r="AC19" i="38"/>
  <c r="AC24" i="38"/>
  <c r="AC25" i="38"/>
  <c r="AC27" i="38"/>
  <c r="AC4" i="38"/>
  <c r="AC19" i="44"/>
  <c r="AC49" i="44"/>
  <c r="AD17" i="38"/>
  <c r="AD19" i="38"/>
  <c r="AD24" i="38"/>
  <c r="AD25" i="38"/>
  <c r="AD27" i="38"/>
  <c r="AD4" i="38"/>
  <c r="AD19" i="44"/>
  <c r="AD49" i="44"/>
  <c r="AE17" i="38"/>
  <c r="AE19" i="38"/>
  <c r="AE24" i="38"/>
  <c r="AE25" i="38"/>
  <c r="AE27" i="38"/>
  <c r="AE4" i="38"/>
  <c r="AE19" i="44"/>
  <c r="AE49" i="44"/>
  <c r="AF17" i="38"/>
  <c r="AF19" i="38"/>
  <c r="AF24" i="38"/>
  <c r="AF25" i="38"/>
  <c r="AF27" i="38"/>
  <c r="AF4" i="38"/>
  <c r="AF19" i="44"/>
  <c r="AF49" i="44"/>
  <c r="AG17" i="38"/>
  <c r="AG19" i="38"/>
  <c r="AG24" i="38"/>
  <c r="AG25" i="38"/>
  <c r="AG27" i="38"/>
  <c r="AG4" i="38"/>
  <c r="AG19" i="44"/>
  <c r="AG49" i="44"/>
  <c r="AH17" i="38"/>
  <c r="AH19" i="38"/>
  <c r="AH24" i="38"/>
  <c r="AH25" i="38"/>
  <c r="AH27" i="38"/>
  <c r="AH4" i="38"/>
  <c r="AH19" i="44"/>
  <c r="AH49" i="44"/>
  <c r="AI17" i="38"/>
  <c r="AI19" i="38"/>
  <c r="AI24" i="38"/>
  <c r="AI25" i="38"/>
  <c r="AI27" i="38"/>
  <c r="AI4" i="38"/>
  <c r="AI19" i="44"/>
  <c r="AI49" i="44"/>
  <c r="AJ17" i="38"/>
  <c r="AJ19" i="38"/>
  <c r="AJ24" i="38"/>
  <c r="AJ25" i="38"/>
  <c r="AJ27" i="38"/>
  <c r="AJ4" i="38"/>
  <c r="AJ19" i="44"/>
  <c r="AJ49" i="44"/>
  <c r="AK17" i="38"/>
  <c r="AK19" i="38"/>
  <c r="AK24" i="38"/>
  <c r="AK25" i="38"/>
  <c r="AK27" i="38"/>
  <c r="AK4" i="38"/>
  <c r="AK19" i="44"/>
  <c r="AK49" i="44"/>
  <c r="AL17" i="38"/>
  <c r="AL19" i="38"/>
  <c r="AL24" i="38"/>
  <c r="AL25" i="38"/>
  <c r="AL27" i="38"/>
  <c r="AL4" i="38"/>
  <c r="AL19" i="44"/>
  <c r="AL49" i="44"/>
  <c r="AM17" i="38"/>
  <c r="AM19" i="38"/>
  <c r="AM24" i="38"/>
  <c r="AM25" i="38"/>
  <c r="AM27" i="38"/>
  <c r="AM4" i="38"/>
  <c r="AM19" i="44"/>
  <c r="AM49" i="44"/>
  <c r="AN17" i="38"/>
  <c r="AN19" i="38"/>
  <c r="AN24" i="38"/>
  <c r="AN25" i="38"/>
  <c r="AN27" i="38"/>
  <c r="AN4" i="38"/>
  <c r="AN19" i="44"/>
  <c r="AN49" i="44"/>
  <c r="AO17" i="38"/>
  <c r="AO19" i="38"/>
  <c r="AO24" i="38"/>
  <c r="AO25" i="38"/>
  <c r="AO27" i="38"/>
  <c r="AO4" i="38"/>
  <c r="AO19" i="44"/>
  <c r="AO49" i="44"/>
  <c r="AP17" i="38"/>
  <c r="AP19" i="38"/>
  <c r="AP24" i="38"/>
  <c r="AP25" i="38"/>
  <c r="AP27" i="38"/>
  <c r="AP4" i="38"/>
  <c r="AP19" i="44"/>
  <c r="AP49" i="44"/>
  <c r="AQ17" i="38"/>
  <c r="AQ19" i="38"/>
  <c r="AQ24" i="38"/>
  <c r="AQ25" i="38"/>
  <c r="AQ27" i="38"/>
  <c r="AQ4" i="38"/>
  <c r="AQ19" i="44"/>
  <c r="AQ49" i="44"/>
  <c r="AR17" i="38"/>
  <c r="AR19" i="38"/>
  <c r="AR24" i="38"/>
  <c r="AR25" i="38"/>
  <c r="AR27" i="38"/>
  <c r="AR4" i="38"/>
  <c r="AR19" i="44"/>
  <c r="AR49" i="44"/>
  <c r="AS17" i="38"/>
  <c r="AS19" i="38"/>
  <c r="AS24" i="38"/>
  <c r="AS25" i="38"/>
  <c r="AS27" i="38"/>
  <c r="AS4" i="38"/>
  <c r="AS19" i="44"/>
  <c r="AS49" i="44"/>
  <c r="AT17" i="38"/>
  <c r="AT19" i="38"/>
  <c r="AT24" i="38"/>
  <c r="AT25" i="38"/>
  <c r="AT27" i="38"/>
  <c r="AT4" i="38"/>
  <c r="AT19" i="44"/>
  <c r="AT49" i="44"/>
  <c r="AU17" i="38"/>
  <c r="AU19" i="38"/>
  <c r="AU24" i="38"/>
  <c r="AU25" i="38"/>
  <c r="AU27" i="38"/>
  <c r="AU4" i="38"/>
  <c r="AU19" i="44"/>
  <c r="AU49" i="44"/>
  <c r="AV17" i="38"/>
  <c r="AV19" i="38"/>
  <c r="AV24" i="38"/>
  <c r="AV25" i="38"/>
  <c r="AV27" i="38"/>
  <c r="AV4" i="38"/>
  <c r="AV19" i="44"/>
  <c r="AV49" i="44"/>
  <c r="AW17" i="38"/>
  <c r="AW19" i="38"/>
  <c r="AW24" i="38"/>
  <c r="AW25" i="38"/>
  <c r="AW27" i="38"/>
  <c r="AW4" i="38"/>
  <c r="AW19" i="44"/>
  <c r="AW49" i="44"/>
  <c r="AX17" i="38"/>
  <c r="AX19" i="38"/>
  <c r="AX24" i="38"/>
  <c r="AX25" i="38"/>
  <c r="AX27" i="38"/>
  <c r="AX4" i="38"/>
  <c r="AX19" i="44"/>
  <c r="AX49" i="44"/>
  <c r="AY17" i="38"/>
  <c r="AY19" i="38"/>
  <c r="AY24" i="38"/>
  <c r="AY25" i="38"/>
  <c r="AY27" i="38"/>
  <c r="AY4" i="38"/>
  <c r="AY19" i="44"/>
  <c r="AY49" i="44"/>
  <c r="AZ17" i="38"/>
  <c r="AZ19" i="38"/>
  <c r="AZ24" i="38"/>
  <c r="AZ25" i="38"/>
  <c r="AZ27" i="38"/>
  <c r="AZ4" i="38"/>
  <c r="AZ19" i="44"/>
  <c r="AZ49" i="44"/>
  <c r="BA17" i="38"/>
  <c r="BA19" i="38"/>
  <c r="BA24" i="38"/>
  <c r="BA25" i="38"/>
  <c r="BA27" i="38"/>
  <c r="BA4" i="38"/>
  <c r="BA19" i="44"/>
  <c r="BA49" i="44"/>
  <c r="C52" i="44"/>
  <c r="C53" i="44"/>
  <c r="D53" i="44"/>
  <c r="E53" i="44"/>
  <c r="F53" i="44"/>
  <c r="G53" i="44"/>
  <c r="H53" i="44"/>
  <c r="I53" i="44"/>
  <c r="J53" i="44"/>
  <c r="K53" i="44"/>
  <c r="L53" i="44"/>
  <c r="M53" i="44"/>
  <c r="N53" i="44"/>
  <c r="O53" i="44"/>
  <c r="P53" i="44"/>
  <c r="Q53" i="44"/>
  <c r="R53" i="44"/>
  <c r="S53" i="44"/>
  <c r="T53" i="44"/>
  <c r="U53" i="44"/>
  <c r="V53" i="44"/>
  <c r="W53" i="44"/>
  <c r="X53" i="44"/>
  <c r="Y53" i="44"/>
  <c r="Z53" i="44"/>
  <c r="AA53" i="44"/>
  <c r="AB53" i="44"/>
  <c r="AC53" i="44"/>
  <c r="AD53" i="44"/>
  <c r="AE53" i="44"/>
  <c r="AF53" i="44"/>
  <c r="AG53" i="44"/>
  <c r="AH53" i="44"/>
  <c r="AI53" i="44"/>
  <c r="AJ53" i="44"/>
  <c r="AK53" i="44"/>
  <c r="AL53" i="44"/>
  <c r="AM53" i="44"/>
  <c r="AN53" i="44"/>
  <c r="AO53" i="44"/>
  <c r="AP53" i="44"/>
  <c r="AQ53" i="44"/>
  <c r="AR53" i="44"/>
  <c r="AS53" i="44"/>
  <c r="AT53" i="44"/>
  <c r="AU53" i="44"/>
  <c r="AV53" i="44"/>
  <c r="AW53" i="44"/>
  <c r="AX53" i="44"/>
  <c r="AY53" i="44"/>
  <c r="AZ53" i="44"/>
  <c r="BA53" i="44"/>
  <c r="C32" i="44"/>
  <c r="C54" i="44"/>
  <c r="D54" i="44"/>
  <c r="E54" i="44"/>
  <c r="F54" i="44"/>
  <c r="G54" i="44"/>
  <c r="H54" i="44"/>
  <c r="I54" i="44"/>
  <c r="J54" i="44"/>
  <c r="K54" i="44"/>
  <c r="L54" i="44"/>
  <c r="M54" i="44"/>
  <c r="N54" i="44"/>
  <c r="O54" i="44"/>
  <c r="P54" i="44"/>
  <c r="Q54" i="44"/>
  <c r="R54" i="44"/>
  <c r="S54" i="44"/>
  <c r="T54" i="44"/>
  <c r="U54" i="44"/>
  <c r="V54" i="44"/>
  <c r="W54" i="44"/>
  <c r="X54" i="44"/>
  <c r="Y54" i="44"/>
  <c r="Z54" i="44"/>
  <c r="AA54" i="44"/>
  <c r="AB54" i="44"/>
  <c r="AC54" i="44"/>
  <c r="AD54" i="44"/>
  <c r="AE54" i="44"/>
  <c r="AF54" i="44"/>
  <c r="AG54" i="44"/>
  <c r="AH54" i="44"/>
  <c r="AI54" i="44"/>
  <c r="AJ54" i="44"/>
  <c r="AK54" i="44"/>
  <c r="AL54" i="44"/>
  <c r="AM54" i="44"/>
  <c r="AN54" i="44"/>
  <c r="AO54" i="44"/>
  <c r="AP54" i="44"/>
  <c r="AQ54" i="44"/>
  <c r="AR54" i="44"/>
  <c r="AS54" i="44"/>
  <c r="AT54" i="44"/>
  <c r="AU54" i="44"/>
  <c r="AV54" i="44"/>
  <c r="AW54" i="44"/>
  <c r="AX54" i="44"/>
  <c r="AY54" i="44"/>
  <c r="AZ54" i="44"/>
  <c r="BA54" i="44"/>
  <c r="D41" i="44"/>
  <c r="D42" i="44"/>
  <c r="D9" i="19"/>
  <c r="D8" i="19"/>
  <c r="C10" i="19"/>
  <c r="D11" i="19"/>
  <c r="D4" i="19"/>
  <c r="D9" i="44"/>
  <c r="E34" i="45"/>
  <c r="E11" i="45"/>
  <c r="E4" i="2"/>
  <c r="D5" i="44"/>
  <c r="E7" i="45"/>
  <c r="D6" i="43"/>
  <c r="D11" i="43"/>
  <c r="D4" i="43"/>
  <c r="D6" i="44"/>
  <c r="E8" i="45"/>
  <c r="D24" i="10"/>
  <c r="E51" i="10"/>
  <c r="D32" i="10"/>
  <c r="E63" i="10"/>
  <c r="E24" i="10"/>
  <c r="E52" i="10"/>
  <c r="E32" i="10"/>
  <c r="E64" i="10"/>
  <c r="F24" i="10"/>
  <c r="E53" i="10"/>
  <c r="F32" i="10"/>
  <c r="E65" i="10"/>
  <c r="G24" i="10"/>
  <c r="E54" i="10"/>
  <c r="G32" i="10"/>
  <c r="E66" i="10"/>
  <c r="H24" i="10"/>
  <c r="E55" i="10"/>
  <c r="H32" i="10"/>
  <c r="E67" i="10"/>
  <c r="I24" i="10"/>
  <c r="E56" i="10"/>
  <c r="I32" i="10"/>
  <c r="E68" i="10"/>
  <c r="J24" i="10"/>
  <c r="E57" i="10"/>
  <c r="J32" i="10"/>
  <c r="E69" i="10"/>
  <c r="K24" i="10"/>
  <c r="E58" i="10"/>
  <c r="K32" i="10"/>
  <c r="E70" i="10"/>
  <c r="E5" i="10"/>
  <c r="D6" i="10"/>
  <c r="E4" i="10"/>
  <c r="D7" i="44"/>
  <c r="E9" i="45"/>
  <c r="L24" i="10"/>
  <c r="F6" i="12"/>
  <c r="E4" i="12"/>
  <c r="D8" i="44"/>
  <c r="E10" i="45"/>
  <c r="D33" i="44"/>
  <c r="F6" i="23"/>
  <c r="F4" i="23"/>
  <c r="D10" i="44"/>
  <c r="E12" i="45"/>
  <c r="E83" i="45"/>
  <c r="E41" i="44"/>
  <c r="E42" i="44"/>
  <c r="E9" i="19"/>
  <c r="E8" i="19"/>
  <c r="E11" i="19"/>
  <c r="E4" i="19"/>
  <c r="E9" i="44"/>
  <c r="F34" i="45"/>
  <c r="F11" i="45"/>
  <c r="F4" i="2"/>
  <c r="E5" i="44"/>
  <c r="F7" i="45"/>
  <c r="E6" i="43"/>
  <c r="E11" i="43"/>
  <c r="E4" i="43"/>
  <c r="E6" i="44"/>
  <c r="F8" i="45"/>
  <c r="F51" i="10"/>
  <c r="D34" i="10"/>
  <c r="F63" i="10"/>
  <c r="F52" i="10"/>
  <c r="E34" i="10"/>
  <c r="F64" i="10"/>
  <c r="F53" i="10"/>
  <c r="F34" i="10"/>
  <c r="F65" i="10"/>
  <c r="F54" i="10"/>
  <c r="G34" i="10"/>
  <c r="F66" i="10"/>
  <c r="F55" i="10"/>
  <c r="H34" i="10"/>
  <c r="F67" i="10"/>
  <c r="F56" i="10"/>
  <c r="I34" i="10"/>
  <c r="F68" i="10"/>
  <c r="F57" i="10"/>
  <c r="J34" i="10"/>
  <c r="F69" i="10"/>
  <c r="F58" i="10"/>
  <c r="K34" i="10"/>
  <c r="F70" i="10"/>
  <c r="F5" i="10"/>
  <c r="F4" i="10"/>
  <c r="E7" i="44"/>
  <c r="F9" i="45"/>
  <c r="F4" i="12"/>
  <c r="E8" i="44"/>
  <c r="F10" i="45"/>
  <c r="E33" i="44"/>
  <c r="G6" i="23"/>
  <c r="G4" i="23"/>
  <c r="E10" i="44"/>
  <c r="F12" i="45"/>
  <c r="F83" i="45"/>
  <c r="F41" i="44"/>
  <c r="F42" i="44"/>
  <c r="F9" i="19"/>
  <c r="F8" i="19"/>
  <c r="F11" i="19"/>
  <c r="F4" i="19"/>
  <c r="F9" i="44"/>
  <c r="G34" i="45"/>
  <c r="G11" i="45"/>
  <c r="G4" i="2"/>
  <c r="F5" i="44"/>
  <c r="G7" i="45"/>
  <c r="F6" i="43"/>
  <c r="F11" i="43"/>
  <c r="F4" i="43"/>
  <c r="F6" i="44"/>
  <c r="G8" i="45"/>
  <c r="G51" i="10"/>
  <c r="G63" i="10"/>
  <c r="G52" i="10"/>
  <c r="G64" i="10"/>
  <c r="G53" i="10"/>
  <c r="G65" i="10"/>
  <c r="G54" i="10"/>
  <c r="G66" i="10"/>
  <c r="G55" i="10"/>
  <c r="G67" i="10"/>
  <c r="G56" i="10"/>
  <c r="G68" i="10"/>
  <c r="G57" i="10"/>
  <c r="G69" i="10"/>
  <c r="G58" i="10"/>
  <c r="G70" i="10"/>
  <c r="G5" i="10"/>
  <c r="G4" i="10"/>
  <c r="F7" i="44"/>
  <c r="G9" i="45"/>
  <c r="G4" i="12"/>
  <c r="F8" i="44"/>
  <c r="G10" i="45"/>
  <c r="F33" i="44"/>
  <c r="H6" i="23"/>
  <c r="H4" i="23"/>
  <c r="F10" i="44"/>
  <c r="G12" i="45"/>
  <c r="G83" i="45"/>
  <c r="G41" i="44"/>
  <c r="G42" i="44"/>
  <c r="G9" i="19"/>
  <c r="G8" i="19"/>
  <c r="G11" i="19"/>
  <c r="G4" i="19"/>
  <c r="G9" i="44"/>
  <c r="H34" i="45"/>
  <c r="H11" i="45"/>
  <c r="H4" i="2"/>
  <c r="G5" i="44"/>
  <c r="H7" i="45"/>
  <c r="G6" i="43"/>
  <c r="G11" i="43"/>
  <c r="G4" i="43"/>
  <c r="G6" i="44"/>
  <c r="H8" i="45"/>
  <c r="H51" i="10"/>
  <c r="H63" i="10"/>
  <c r="H52" i="10"/>
  <c r="H64" i="10"/>
  <c r="H53" i="10"/>
  <c r="H65" i="10"/>
  <c r="H54" i="10"/>
  <c r="H66" i="10"/>
  <c r="H55" i="10"/>
  <c r="H67" i="10"/>
  <c r="H56" i="10"/>
  <c r="H68" i="10"/>
  <c r="H57" i="10"/>
  <c r="H69" i="10"/>
  <c r="H58" i="10"/>
  <c r="H70" i="10"/>
  <c r="H5" i="10"/>
  <c r="H4" i="10"/>
  <c r="G7" i="44"/>
  <c r="H9" i="45"/>
  <c r="H4" i="12"/>
  <c r="G8" i="44"/>
  <c r="H10" i="45"/>
  <c r="G33" i="44"/>
  <c r="I6" i="23"/>
  <c r="I4" i="23"/>
  <c r="G10" i="44"/>
  <c r="H12" i="45"/>
  <c r="H83" i="45"/>
  <c r="H41" i="44"/>
  <c r="H42" i="44"/>
  <c r="H9" i="19"/>
  <c r="H8" i="19"/>
  <c r="H11" i="19"/>
  <c r="H4" i="19"/>
  <c r="H9" i="44"/>
  <c r="I34" i="45"/>
  <c r="I11" i="45"/>
  <c r="I4" i="2"/>
  <c r="H5" i="44"/>
  <c r="I7" i="45"/>
  <c r="H6" i="43"/>
  <c r="H11" i="43"/>
  <c r="H4" i="43"/>
  <c r="H6" i="44"/>
  <c r="I8" i="45"/>
  <c r="I51" i="10"/>
  <c r="I63" i="10"/>
  <c r="I52" i="10"/>
  <c r="I64" i="10"/>
  <c r="I53" i="10"/>
  <c r="I65" i="10"/>
  <c r="I54" i="10"/>
  <c r="I66" i="10"/>
  <c r="I55" i="10"/>
  <c r="I67" i="10"/>
  <c r="I56" i="10"/>
  <c r="I68" i="10"/>
  <c r="I57" i="10"/>
  <c r="I69" i="10"/>
  <c r="I58" i="10"/>
  <c r="I70" i="10"/>
  <c r="I5" i="10"/>
  <c r="I4" i="10"/>
  <c r="H7" i="44"/>
  <c r="I9" i="45"/>
  <c r="I4" i="12"/>
  <c r="H8" i="44"/>
  <c r="I10" i="45"/>
  <c r="H33" i="44"/>
  <c r="J6" i="23"/>
  <c r="J4" i="23"/>
  <c r="H10" i="44"/>
  <c r="I12" i="45"/>
  <c r="I83" i="45"/>
  <c r="I41" i="44"/>
  <c r="I42" i="44"/>
  <c r="I9" i="19"/>
  <c r="I8" i="19"/>
  <c r="I11" i="19"/>
  <c r="I4" i="19"/>
  <c r="I9" i="44"/>
  <c r="J34" i="45"/>
  <c r="J11" i="45"/>
  <c r="J4" i="2"/>
  <c r="I5" i="44"/>
  <c r="J7" i="45"/>
  <c r="I6" i="43"/>
  <c r="I11" i="43"/>
  <c r="I4" i="43"/>
  <c r="I6" i="44"/>
  <c r="J8" i="45"/>
  <c r="J51" i="10"/>
  <c r="J63" i="10"/>
  <c r="J52" i="10"/>
  <c r="J64" i="10"/>
  <c r="J53" i="10"/>
  <c r="J65" i="10"/>
  <c r="J54" i="10"/>
  <c r="J66" i="10"/>
  <c r="J55" i="10"/>
  <c r="J67" i="10"/>
  <c r="J56" i="10"/>
  <c r="J68" i="10"/>
  <c r="J57" i="10"/>
  <c r="J69" i="10"/>
  <c r="J58" i="10"/>
  <c r="J70" i="10"/>
  <c r="J5" i="10"/>
  <c r="J4" i="10"/>
  <c r="I7" i="44"/>
  <c r="J9" i="45"/>
  <c r="J4" i="12"/>
  <c r="I8" i="44"/>
  <c r="J10" i="45"/>
  <c r="I33" i="44"/>
  <c r="K6" i="23"/>
  <c r="K4" i="23"/>
  <c r="I10" i="44"/>
  <c r="J12" i="45"/>
  <c r="J83" i="45"/>
  <c r="J41" i="44"/>
  <c r="J42" i="44"/>
  <c r="J9" i="19"/>
  <c r="J8" i="19"/>
  <c r="J11" i="19"/>
  <c r="J4" i="19"/>
  <c r="J9" i="44"/>
  <c r="K34" i="45"/>
  <c r="K11" i="45"/>
  <c r="K4" i="2"/>
  <c r="J5" i="44"/>
  <c r="K7" i="45"/>
  <c r="J6" i="43"/>
  <c r="J11" i="43"/>
  <c r="J4" i="43"/>
  <c r="J6" i="44"/>
  <c r="K8" i="45"/>
  <c r="K51" i="10"/>
  <c r="D30" i="10"/>
  <c r="K63" i="10"/>
  <c r="K52" i="10"/>
  <c r="E30" i="10"/>
  <c r="K64" i="10"/>
  <c r="K53" i="10"/>
  <c r="F30" i="10"/>
  <c r="K65" i="10"/>
  <c r="K54" i="10"/>
  <c r="G30" i="10"/>
  <c r="K66" i="10"/>
  <c r="K55" i="10"/>
  <c r="H30" i="10"/>
  <c r="K67" i="10"/>
  <c r="K56" i="10"/>
  <c r="I30" i="10"/>
  <c r="K68" i="10"/>
  <c r="K57" i="10"/>
  <c r="J30" i="10"/>
  <c r="K69" i="10"/>
  <c r="K58" i="10"/>
  <c r="K30" i="10"/>
  <c r="K70" i="10"/>
  <c r="K5" i="10"/>
  <c r="K4" i="10"/>
  <c r="J7" i="44"/>
  <c r="K9" i="45"/>
  <c r="K4" i="12"/>
  <c r="J8" i="44"/>
  <c r="K10" i="45"/>
  <c r="J33" i="44"/>
  <c r="L6" i="23"/>
  <c r="L4" i="23"/>
  <c r="J10" i="44"/>
  <c r="K12" i="45"/>
  <c r="K83" i="45"/>
  <c r="K41" i="44"/>
  <c r="K42" i="44"/>
  <c r="K9" i="19"/>
  <c r="K8" i="19"/>
  <c r="K11" i="19"/>
  <c r="K4" i="19"/>
  <c r="K9" i="44"/>
  <c r="L34" i="45"/>
  <c r="L11" i="45"/>
  <c r="L4" i="2"/>
  <c r="K5" i="44"/>
  <c r="L7" i="45"/>
  <c r="K6" i="43"/>
  <c r="K11" i="43"/>
  <c r="K4" i="43"/>
  <c r="K6" i="44"/>
  <c r="L8" i="45"/>
  <c r="L51" i="10"/>
  <c r="L63" i="10"/>
  <c r="L52" i="10"/>
  <c r="L64" i="10"/>
  <c r="L53" i="10"/>
  <c r="L65" i="10"/>
  <c r="L54" i="10"/>
  <c r="L66" i="10"/>
  <c r="L55" i="10"/>
  <c r="L67" i="10"/>
  <c r="L56" i="10"/>
  <c r="L68" i="10"/>
  <c r="L57" i="10"/>
  <c r="L69" i="10"/>
  <c r="L58" i="10"/>
  <c r="L70" i="10"/>
  <c r="L5" i="10"/>
  <c r="L4" i="10"/>
  <c r="K7" i="44"/>
  <c r="L9" i="45"/>
  <c r="L4" i="12"/>
  <c r="K8" i="44"/>
  <c r="L10" i="45"/>
  <c r="K33" i="44"/>
  <c r="M6" i="23"/>
  <c r="M4" i="23"/>
  <c r="K10" i="44"/>
  <c r="L12" i="45"/>
  <c r="L83" i="45"/>
  <c r="L41" i="44"/>
  <c r="L42" i="44"/>
  <c r="L9" i="19"/>
  <c r="L8" i="19"/>
  <c r="L11" i="19"/>
  <c r="L4" i="19"/>
  <c r="L9" i="44"/>
  <c r="M34" i="45"/>
  <c r="M11" i="45"/>
  <c r="M4" i="2"/>
  <c r="L5" i="44"/>
  <c r="M7" i="45"/>
  <c r="L6" i="43"/>
  <c r="L11" i="43"/>
  <c r="L4" i="43"/>
  <c r="L6" i="44"/>
  <c r="M8" i="45"/>
  <c r="M51" i="10"/>
  <c r="M63" i="10"/>
  <c r="M52" i="10"/>
  <c r="M64" i="10"/>
  <c r="M53" i="10"/>
  <c r="M65" i="10"/>
  <c r="M54" i="10"/>
  <c r="M66" i="10"/>
  <c r="M55" i="10"/>
  <c r="M67" i="10"/>
  <c r="M56" i="10"/>
  <c r="M68" i="10"/>
  <c r="M57" i="10"/>
  <c r="M69" i="10"/>
  <c r="M58" i="10"/>
  <c r="M70" i="10"/>
  <c r="M5" i="10"/>
  <c r="M4" i="10"/>
  <c r="L7" i="44"/>
  <c r="M9" i="45"/>
  <c r="M4" i="12"/>
  <c r="L8" i="44"/>
  <c r="M10" i="45"/>
  <c r="L33" i="44"/>
  <c r="N6" i="23"/>
  <c r="N4" i="23"/>
  <c r="L10" i="44"/>
  <c r="M12" i="45"/>
  <c r="M83" i="45"/>
  <c r="M41" i="44"/>
  <c r="M42" i="44"/>
  <c r="M9" i="19"/>
  <c r="M8" i="19"/>
  <c r="M11" i="19"/>
  <c r="M4" i="19"/>
  <c r="M9" i="44"/>
  <c r="N34" i="45"/>
  <c r="N11" i="45"/>
  <c r="N4" i="2"/>
  <c r="M5" i="44"/>
  <c r="N7" i="45"/>
  <c r="M6" i="43"/>
  <c r="M11" i="43"/>
  <c r="M4" i="43"/>
  <c r="M6" i="44"/>
  <c r="N8" i="45"/>
  <c r="N51" i="10"/>
  <c r="N63" i="10"/>
  <c r="N52" i="10"/>
  <c r="N64" i="10"/>
  <c r="N53" i="10"/>
  <c r="N65" i="10"/>
  <c r="N54" i="10"/>
  <c r="N66" i="10"/>
  <c r="N55" i="10"/>
  <c r="N67" i="10"/>
  <c r="N56" i="10"/>
  <c r="N68" i="10"/>
  <c r="N57" i="10"/>
  <c r="N69" i="10"/>
  <c r="N58" i="10"/>
  <c r="N70" i="10"/>
  <c r="N5" i="10"/>
  <c r="N4" i="10"/>
  <c r="M7" i="44"/>
  <c r="N9" i="45"/>
  <c r="N4" i="12"/>
  <c r="M8" i="44"/>
  <c r="N10" i="45"/>
  <c r="M33" i="44"/>
  <c r="O6" i="23"/>
  <c r="O4" i="23"/>
  <c r="M10" i="44"/>
  <c r="N12" i="45"/>
  <c r="N83" i="45"/>
  <c r="N41" i="44"/>
  <c r="N42" i="44"/>
  <c r="N9" i="19"/>
  <c r="N8" i="19"/>
  <c r="N11" i="19"/>
  <c r="N4" i="19"/>
  <c r="N9" i="44"/>
  <c r="O34" i="45"/>
  <c r="O11" i="45"/>
  <c r="O4" i="2"/>
  <c r="N5" i="44"/>
  <c r="O7" i="45"/>
  <c r="N6" i="43"/>
  <c r="N11" i="43"/>
  <c r="N4" i="43"/>
  <c r="N6" i="44"/>
  <c r="O8" i="45"/>
  <c r="O51" i="10"/>
  <c r="O63" i="10"/>
  <c r="O52" i="10"/>
  <c r="O64" i="10"/>
  <c r="O53" i="10"/>
  <c r="O65" i="10"/>
  <c r="O54" i="10"/>
  <c r="O66" i="10"/>
  <c r="O55" i="10"/>
  <c r="O67" i="10"/>
  <c r="O56" i="10"/>
  <c r="O68" i="10"/>
  <c r="O57" i="10"/>
  <c r="O69" i="10"/>
  <c r="O58" i="10"/>
  <c r="O70" i="10"/>
  <c r="O5" i="10"/>
  <c r="O4" i="10"/>
  <c r="N7" i="44"/>
  <c r="O9" i="45"/>
  <c r="O4" i="12"/>
  <c r="N8" i="44"/>
  <c r="O10" i="45"/>
  <c r="N33" i="44"/>
  <c r="P6" i="23"/>
  <c r="P4" i="23"/>
  <c r="N10" i="44"/>
  <c r="O12" i="45"/>
  <c r="O83" i="45"/>
  <c r="O41" i="44"/>
  <c r="O42" i="44"/>
  <c r="O9" i="19"/>
  <c r="O8" i="19"/>
  <c r="O11" i="19"/>
  <c r="O4" i="19"/>
  <c r="O9" i="44"/>
  <c r="P34" i="45"/>
  <c r="P11" i="45"/>
  <c r="P4" i="2"/>
  <c r="O5" i="44"/>
  <c r="P7" i="45"/>
  <c r="O6" i="43"/>
  <c r="O11" i="43"/>
  <c r="O4" i="43"/>
  <c r="O6" i="44"/>
  <c r="P8" i="45"/>
  <c r="P51" i="10"/>
  <c r="P63" i="10"/>
  <c r="P52" i="10"/>
  <c r="P64" i="10"/>
  <c r="P53" i="10"/>
  <c r="P65" i="10"/>
  <c r="P54" i="10"/>
  <c r="P66" i="10"/>
  <c r="P55" i="10"/>
  <c r="P67" i="10"/>
  <c r="P56" i="10"/>
  <c r="P68" i="10"/>
  <c r="P57" i="10"/>
  <c r="P69" i="10"/>
  <c r="P58" i="10"/>
  <c r="P70" i="10"/>
  <c r="P5" i="10"/>
  <c r="P4" i="10"/>
  <c r="O7" i="44"/>
  <c r="P9" i="45"/>
  <c r="P4" i="12"/>
  <c r="O8" i="44"/>
  <c r="P10" i="45"/>
  <c r="O33" i="44"/>
  <c r="Q6" i="23"/>
  <c r="Q4" i="23"/>
  <c r="O10" i="44"/>
  <c r="P12" i="45"/>
  <c r="P83" i="45"/>
  <c r="P41" i="44"/>
  <c r="P42" i="44"/>
  <c r="P9" i="19"/>
  <c r="P8" i="19"/>
  <c r="P11" i="19"/>
  <c r="P4" i="19"/>
  <c r="P9" i="44"/>
  <c r="Q34" i="45"/>
  <c r="Q11" i="45"/>
  <c r="Q4" i="2"/>
  <c r="P5" i="44"/>
  <c r="Q7" i="45"/>
  <c r="P6" i="43"/>
  <c r="P11" i="43"/>
  <c r="P4" i="43"/>
  <c r="P6" i="44"/>
  <c r="Q8" i="45"/>
  <c r="Q51" i="10"/>
  <c r="D28" i="10"/>
  <c r="Q63" i="10"/>
  <c r="Q52" i="10"/>
  <c r="E28" i="10"/>
  <c r="Q64" i="10"/>
  <c r="Q53" i="10"/>
  <c r="F28" i="10"/>
  <c r="Q65" i="10"/>
  <c r="Q54" i="10"/>
  <c r="G28" i="10"/>
  <c r="Q66" i="10"/>
  <c r="Q55" i="10"/>
  <c r="H28" i="10"/>
  <c r="Q67" i="10"/>
  <c r="Q56" i="10"/>
  <c r="I28" i="10"/>
  <c r="Q68" i="10"/>
  <c r="Q57" i="10"/>
  <c r="J28" i="10"/>
  <c r="Q69" i="10"/>
  <c r="Q58" i="10"/>
  <c r="K28" i="10"/>
  <c r="Q70" i="10"/>
  <c r="Q5" i="10"/>
  <c r="Q4" i="10"/>
  <c r="P7" i="44"/>
  <c r="Q9" i="45"/>
  <c r="Q4" i="12"/>
  <c r="P8" i="44"/>
  <c r="Q10" i="45"/>
  <c r="P33" i="44"/>
  <c r="R6" i="23"/>
  <c r="R4" i="23"/>
  <c r="P10" i="44"/>
  <c r="Q12" i="45"/>
  <c r="Q83" i="45"/>
  <c r="Q41" i="44"/>
  <c r="Q42" i="44"/>
  <c r="Q9" i="19"/>
  <c r="Q8" i="19"/>
  <c r="Q11" i="19"/>
  <c r="Q4" i="19"/>
  <c r="Q9" i="44"/>
  <c r="R34" i="45"/>
  <c r="R11" i="45"/>
  <c r="R4" i="2"/>
  <c r="Q5" i="44"/>
  <c r="R7" i="45"/>
  <c r="Q6" i="43"/>
  <c r="Q11" i="43"/>
  <c r="Q4" i="43"/>
  <c r="Q6" i="44"/>
  <c r="R8" i="45"/>
  <c r="R51" i="10"/>
  <c r="R63" i="10"/>
  <c r="R52" i="10"/>
  <c r="R64" i="10"/>
  <c r="R53" i="10"/>
  <c r="R65" i="10"/>
  <c r="R54" i="10"/>
  <c r="R66" i="10"/>
  <c r="R55" i="10"/>
  <c r="R67" i="10"/>
  <c r="R56" i="10"/>
  <c r="R68" i="10"/>
  <c r="R57" i="10"/>
  <c r="R69" i="10"/>
  <c r="R58" i="10"/>
  <c r="R70" i="10"/>
  <c r="R5" i="10"/>
  <c r="R4" i="10"/>
  <c r="Q7" i="44"/>
  <c r="R9" i="45"/>
  <c r="R4" i="12"/>
  <c r="Q8" i="44"/>
  <c r="R10" i="45"/>
  <c r="Q33" i="44"/>
  <c r="S6" i="23"/>
  <c r="S4" i="23"/>
  <c r="Q10" i="44"/>
  <c r="R12" i="45"/>
  <c r="R83" i="45"/>
  <c r="R41" i="44"/>
  <c r="R42" i="44"/>
  <c r="R9" i="19"/>
  <c r="R8" i="19"/>
  <c r="R11" i="19"/>
  <c r="R4" i="19"/>
  <c r="R9" i="44"/>
  <c r="S34" i="45"/>
  <c r="S11" i="45"/>
  <c r="S4" i="2"/>
  <c r="R5" i="44"/>
  <c r="S7" i="45"/>
  <c r="R6" i="43"/>
  <c r="R11" i="43"/>
  <c r="R4" i="43"/>
  <c r="R6" i="44"/>
  <c r="S8" i="45"/>
  <c r="S51" i="10"/>
  <c r="S63" i="10"/>
  <c r="S52" i="10"/>
  <c r="S64" i="10"/>
  <c r="S53" i="10"/>
  <c r="S65" i="10"/>
  <c r="S54" i="10"/>
  <c r="S66" i="10"/>
  <c r="S55" i="10"/>
  <c r="S67" i="10"/>
  <c r="S56" i="10"/>
  <c r="S68" i="10"/>
  <c r="S57" i="10"/>
  <c r="S69" i="10"/>
  <c r="S58" i="10"/>
  <c r="S70" i="10"/>
  <c r="S5" i="10"/>
  <c r="S4" i="10"/>
  <c r="R7" i="44"/>
  <c r="S9" i="45"/>
  <c r="S4" i="12"/>
  <c r="R8" i="44"/>
  <c r="S10" i="45"/>
  <c r="R33" i="44"/>
  <c r="T6" i="23"/>
  <c r="T4" i="23"/>
  <c r="R10" i="44"/>
  <c r="S12" i="45"/>
  <c r="S83" i="45"/>
  <c r="S41" i="44"/>
  <c r="S42" i="44"/>
  <c r="S9" i="19"/>
  <c r="S8" i="19"/>
  <c r="S11" i="19"/>
  <c r="S4" i="19"/>
  <c r="S9" i="44"/>
  <c r="T34" i="45"/>
  <c r="T11" i="45"/>
  <c r="T4" i="2"/>
  <c r="S5" i="44"/>
  <c r="T7" i="45"/>
  <c r="S6" i="43"/>
  <c r="S11" i="43"/>
  <c r="S4" i="43"/>
  <c r="S6" i="44"/>
  <c r="T8" i="45"/>
  <c r="T51" i="10"/>
  <c r="T63" i="10"/>
  <c r="T52" i="10"/>
  <c r="T64" i="10"/>
  <c r="T53" i="10"/>
  <c r="T65" i="10"/>
  <c r="T54" i="10"/>
  <c r="T66" i="10"/>
  <c r="T55" i="10"/>
  <c r="T67" i="10"/>
  <c r="T56" i="10"/>
  <c r="T68" i="10"/>
  <c r="T57" i="10"/>
  <c r="T69" i="10"/>
  <c r="T58" i="10"/>
  <c r="T70" i="10"/>
  <c r="T5" i="10"/>
  <c r="T4" i="10"/>
  <c r="S7" i="44"/>
  <c r="T9" i="45"/>
  <c r="T4" i="12"/>
  <c r="S8" i="44"/>
  <c r="T10" i="45"/>
  <c r="S33" i="44"/>
  <c r="U6" i="23"/>
  <c r="U4" i="23"/>
  <c r="S10" i="44"/>
  <c r="T12" i="45"/>
  <c r="T83" i="45"/>
  <c r="T41" i="44"/>
  <c r="T42" i="44"/>
  <c r="T9" i="19"/>
  <c r="T8" i="19"/>
  <c r="T11" i="19"/>
  <c r="T4" i="19"/>
  <c r="T9" i="44"/>
  <c r="U34" i="45"/>
  <c r="U11" i="45"/>
  <c r="U4" i="2"/>
  <c r="T5" i="44"/>
  <c r="U7" i="45"/>
  <c r="T6" i="43"/>
  <c r="T11" i="43"/>
  <c r="T4" i="43"/>
  <c r="T6" i="44"/>
  <c r="U8" i="45"/>
  <c r="U51" i="10"/>
  <c r="U63" i="10"/>
  <c r="U52" i="10"/>
  <c r="U64" i="10"/>
  <c r="U53" i="10"/>
  <c r="U65" i="10"/>
  <c r="U54" i="10"/>
  <c r="U66" i="10"/>
  <c r="U55" i="10"/>
  <c r="U67" i="10"/>
  <c r="U56" i="10"/>
  <c r="U68" i="10"/>
  <c r="U57" i="10"/>
  <c r="U69" i="10"/>
  <c r="U58" i="10"/>
  <c r="U70" i="10"/>
  <c r="U5" i="10"/>
  <c r="U4" i="10"/>
  <c r="T7" i="44"/>
  <c r="U9" i="45"/>
  <c r="U4" i="12"/>
  <c r="T8" i="44"/>
  <c r="U10" i="45"/>
  <c r="T33" i="44"/>
  <c r="V6" i="23"/>
  <c r="V4" i="23"/>
  <c r="T10" i="44"/>
  <c r="U12" i="45"/>
  <c r="U83" i="45"/>
  <c r="U41" i="44"/>
  <c r="U42" i="44"/>
  <c r="U9" i="19"/>
  <c r="U8" i="19"/>
  <c r="U11" i="19"/>
  <c r="U4" i="19"/>
  <c r="U9" i="44"/>
  <c r="V34" i="45"/>
  <c r="V11" i="45"/>
  <c r="V4" i="2"/>
  <c r="U5" i="44"/>
  <c r="V7" i="45"/>
  <c r="U6" i="43"/>
  <c r="U11" i="43"/>
  <c r="U4" i="43"/>
  <c r="U6" i="44"/>
  <c r="V8" i="45"/>
  <c r="V51" i="10"/>
  <c r="V63" i="10"/>
  <c r="V52" i="10"/>
  <c r="V64" i="10"/>
  <c r="V53" i="10"/>
  <c r="V65" i="10"/>
  <c r="V54" i="10"/>
  <c r="V66" i="10"/>
  <c r="V55" i="10"/>
  <c r="V67" i="10"/>
  <c r="V56" i="10"/>
  <c r="V68" i="10"/>
  <c r="V57" i="10"/>
  <c r="V69" i="10"/>
  <c r="V58" i="10"/>
  <c r="V70" i="10"/>
  <c r="V5" i="10"/>
  <c r="V4" i="10"/>
  <c r="U7" i="44"/>
  <c r="V9" i="45"/>
  <c r="V4" i="12"/>
  <c r="U8" i="44"/>
  <c r="V10" i="45"/>
  <c r="U33" i="44"/>
  <c r="W6" i="23"/>
  <c r="W4" i="23"/>
  <c r="U10" i="44"/>
  <c r="V12" i="45"/>
  <c r="V83" i="45"/>
  <c r="V41" i="44"/>
  <c r="V42" i="44"/>
  <c r="V9" i="19"/>
  <c r="V8" i="19"/>
  <c r="V11" i="19"/>
  <c r="V4" i="19"/>
  <c r="V9" i="44"/>
  <c r="W34" i="45"/>
  <c r="W11" i="45"/>
  <c r="W4" i="2"/>
  <c r="V5" i="44"/>
  <c r="W7" i="45"/>
  <c r="V6" i="43"/>
  <c r="V11" i="43"/>
  <c r="V4" i="43"/>
  <c r="V6" i="44"/>
  <c r="W8" i="45"/>
  <c r="W51" i="10"/>
  <c r="W63" i="10"/>
  <c r="W52" i="10"/>
  <c r="W64" i="10"/>
  <c r="W53" i="10"/>
  <c r="W65" i="10"/>
  <c r="W54" i="10"/>
  <c r="W66" i="10"/>
  <c r="W55" i="10"/>
  <c r="W67" i="10"/>
  <c r="W56" i="10"/>
  <c r="W68" i="10"/>
  <c r="W57" i="10"/>
  <c r="W69" i="10"/>
  <c r="W58" i="10"/>
  <c r="W70" i="10"/>
  <c r="W5" i="10"/>
  <c r="W4" i="10"/>
  <c r="V7" i="44"/>
  <c r="W9" i="45"/>
  <c r="W4" i="12"/>
  <c r="V8" i="44"/>
  <c r="W10" i="45"/>
  <c r="V33" i="44"/>
  <c r="X6" i="23"/>
  <c r="X4" i="23"/>
  <c r="V10" i="44"/>
  <c r="W12" i="45"/>
  <c r="W83" i="45"/>
  <c r="W41" i="44"/>
  <c r="W42" i="44"/>
  <c r="W9" i="19"/>
  <c r="W8" i="19"/>
  <c r="W11" i="19"/>
  <c r="W4" i="19"/>
  <c r="W9" i="44"/>
  <c r="X34" i="45"/>
  <c r="X11" i="45"/>
  <c r="X4" i="2"/>
  <c r="W5" i="44"/>
  <c r="X7" i="45"/>
  <c r="W6" i="43"/>
  <c r="W11" i="43"/>
  <c r="W4" i="43"/>
  <c r="W6" i="44"/>
  <c r="X8" i="45"/>
  <c r="X51" i="10"/>
  <c r="X63" i="10"/>
  <c r="X52" i="10"/>
  <c r="X64" i="10"/>
  <c r="X53" i="10"/>
  <c r="X65" i="10"/>
  <c r="X54" i="10"/>
  <c r="X66" i="10"/>
  <c r="X55" i="10"/>
  <c r="X67" i="10"/>
  <c r="X56" i="10"/>
  <c r="X68" i="10"/>
  <c r="X57" i="10"/>
  <c r="X69" i="10"/>
  <c r="X58" i="10"/>
  <c r="X70" i="10"/>
  <c r="X5" i="10"/>
  <c r="X4" i="10"/>
  <c r="W7" i="44"/>
  <c r="X9" i="45"/>
  <c r="X4" i="12"/>
  <c r="W8" i="44"/>
  <c r="X10" i="45"/>
  <c r="W33" i="44"/>
  <c r="Y6" i="23"/>
  <c r="Y4" i="23"/>
  <c r="W10" i="44"/>
  <c r="X12" i="45"/>
  <c r="X83" i="45"/>
  <c r="X41" i="44"/>
  <c r="X42" i="44"/>
  <c r="X9" i="19"/>
  <c r="X8" i="19"/>
  <c r="X11" i="19"/>
  <c r="X4" i="19"/>
  <c r="X9" i="44"/>
  <c r="Y34" i="45"/>
  <c r="Y11" i="45"/>
  <c r="Y4" i="2"/>
  <c r="X5" i="44"/>
  <c r="Y7" i="45"/>
  <c r="X6" i="43"/>
  <c r="X11" i="43"/>
  <c r="X4" i="43"/>
  <c r="X6" i="44"/>
  <c r="Y8" i="45"/>
  <c r="Y51" i="10"/>
  <c r="Y63" i="10"/>
  <c r="Y52" i="10"/>
  <c r="Y64" i="10"/>
  <c r="Y53" i="10"/>
  <c r="Y65" i="10"/>
  <c r="Y54" i="10"/>
  <c r="Y66" i="10"/>
  <c r="Y55" i="10"/>
  <c r="Y67" i="10"/>
  <c r="Y56" i="10"/>
  <c r="Y68" i="10"/>
  <c r="Y57" i="10"/>
  <c r="Y69" i="10"/>
  <c r="Y58" i="10"/>
  <c r="Y70" i="10"/>
  <c r="Y5" i="10"/>
  <c r="Y4" i="10"/>
  <c r="X7" i="44"/>
  <c r="Y9" i="45"/>
  <c r="Y4" i="12"/>
  <c r="X8" i="44"/>
  <c r="Y10" i="45"/>
  <c r="X33" i="44"/>
  <c r="Z6" i="23"/>
  <c r="Z4" i="23"/>
  <c r="X10" i="44"/>
  <c r="Y12" i="45"/>
  <c r="Y83" i="45"/>
  <c r="Y41" i="44"/>
  <c r="Y42" i="44"/>
  <c r="Y9" i="19"/>
  <c r="Y8" i="19"/>
  <c r="Y11" i="19"/>
  <c r="Y4" i="19"/>
  <c r="Y9" i="44"/>
  <c r="Z34" i="45"/>
  <c r="Z11" i="45"/>
  <c r="Z4" i="2"/>
  <c r="Y5" i="44"/>
  <c r="Z7" i="45"/>
  <c r="Y6" i="43"/>
  <c r="Y11" i="43"/>
  <c r="Y4" i="43"/>
  <c r="Y6" i="44"/>
  <c r="Z8" i="45"/>
  <c r="Z51" i="10"/>
  <c r="Z63" i="10"/>
  <c r="Z52" i="10"/>
  <c r="Z64" i="10"/>
  <c r="Z53" i="10"/>
  <c r="Z65" i="10"/>
  <c r="Z54" i="10"/>
  <c r="Z66" i="10"/>
  <c r="Z55" i="10"/>
  <c r="Z67" i="10"/>
  <c r="Z56" i="10"/>
  <c r="Z68" i="10"/>
  <c r="Z57" i="10"/>
  <c r="Z69" i="10"/>
  <c r="Z58" i="10"/>
  <c r="Z70" i="10"/>
  <c r="Z5" i="10"/>
  <c r="Z4" i="10"/>
  <c r="Y7" i="44"/>
  <c r="Z9" i="45"/>
  <c r="Z4" i="12"/>
  <c r="Y8" i="44"/>
  <c r="Z10" i="45"/>
  <c r="Y33" i="44"/>
  <c r="AA6" i="23"/>
  <c r="AA4" i="23"/>
  <c r="Y10" i="44"/>
  <c r="Z12" i="45"/>
  <c r="Z83" i="45"/>
  <c r="Z41" i="44"/>
  <c r="Z42" i="44"/>
  <c r="Z9" i="19"/>
  <c r="Z8" i="19"/>
  <c r="Z11" i="19"/>
  <c r="Z4" i="19"/>
  <c r="Z9" i="44"/>
  <c r="AA34" i="45"/>
  <c r="AA11" i="45"/>
  <c r="AA4" i="2"/>
  <c r="Z5" i="44"/>
  <c r="AA7" i="45"/>
  <c r="Z6" i="43"/>
  <c r="Z11" i="43"/>
  <c r="Z4" i="43"/>
  <c r="Z6" i="44"/>
  <c r="AA8" i="45"/>
  <c r="AA51" i="10"/>
  <c r="AA63" i="10"/>
  <c r="AA52" i="10"/>
  <c r="AA64" i="10"/>
  <c r="AA53" i="10"/>
  <c r="AA65" i="10"/>
  <c r="AA54" i="10"/>
  <c r="AA66" i="10"/>
  <c r="AA55" i="10"/>
  <c r="AA67" i="10"/>
  <c r="AA56" i="10"/>
  <c r="AA68" i="10"/>
  <c r="AA57" i="10"/>
  <c r="AA69" i="10"/>
  <c r="AA58" i="10"/>
  <c r="AA70" i="10"/>
  <c r="AA5" i="10"/>
  <c r="AA4" i="10"/>
  <c r="Z7" i="44"/>
  <c r="AA9" i="45"/>
  <c r="AA4" i="12"/>
  <c r="Z8" i="44"/>
  <c r="AA10" i="45"/>
  <c r="Z33" i="44"/>
  <c r="AB6" i="23"/>
  <c r="AB4" i="23"/>
  <c r="Z10" i="44"/>
  <c r="AA12" i="45"/>
  <c r="AA83" i="45"/>
  <c r="AA41" i="44"/>
  <c r="AA42" i="44"/>
  <c r="AA9" i="19"/>
  <c r="AA8" i="19"/>
  <c r="AA11" i="19"/>
  <c r="AA4" i="19"/>
  <c r="AA9" i="44"/>
  <c r="AB34" i="45"/>
  <c r="AB11" i="45"/>
  <c r="AB4" i="2"/>
  <c r="AA5" i="44"/>
  <c r="AB7" i="45"/>
  <c r="AA6" i="43"/>
  <c r="AA11" i="43"/>
  <c r="AA4" i="43"/>
  <c r="AA6" i="44"/>
  <c r="AB8" i="45"/>
  <c r="AB51" i="10"/>
  <c r="AB63" i="10"/>
  <c r="AB52" i="10"/>
  <c r="AB64" i="10"/>
  <c r="AB53" i="10"/>
  <c r="AB65" i="10"/>
  <c r="AB54" i="10"/>
  <c r="AB66" i="10"/>
  <c r="AB55" i="10"/>
  <c r="AB67" i="10"/>
  <c r="AB56" i="10"/>
  <c r="AB68" i="10"/>
  <c r="AB57" i="10"/>
  <c r="AB69" i="10"/>
  <c r="AB58" i="10"/>
  <c r="AB70" i="10"/>
  <c r="AB5" i="10"/>
  <c r="AB4" i="10"/>
  <c r="AA7" i="44"/>
  <c r="AB9" i="45"/>
  <c r="AB4" i="12"/>
  <c r="AA8" i="44"/>
  <c r="AB10" i="45"/>
  <c r="AA33" i="44"/>
  <c r="AC6" i="23"/>
  <c r="AC4" i="23"/>
  <c r="AA10" i="44"/>
  <c r="AB12" i="45"/>
  <c r="AB83" i="45"/>
  <c r="AB41" i="44"/>
  <c r="AB42" i="44"/>
  <c r="AB9" i="19"/>
  <c r="AB8" i="19"/>
  <c r="AB11" i="19"/>
  <c r="AB4" i="19"/>
  <c r="AB9" i="44"/>
  <c r="AC34" i="45"/>
  <c r="AC11" i="45"/>
  <c r="AC4" i="2"/>
  <c r="AB5" i="44"/>
  <c r="AC7" i="45"/>
  <c r="AB6" i="43"/>
  <c r="AB11" i="43"/>
  <c r="AB4" i="43"/>
  <c r="AB6" i="44"/>
  <c r="AC8" i="45"/>
  <c r="AC51" i="10"/>
  <c r="AC63" i="10"/>
  <c r="AC52" i="10"/>
  <c r="AC64" i="10"/>
  <c r="AC53" i="10"/>
  <c r="AC65" i="10"/>
  <c r="AC54" i="10"/>
  <c r="AC66" i="10"/>
  <c r="AC55" i="10"/>
  <c r="AC67" i="10"/>
  <c r="AC56" i="10"/>
  <c r="AC68" i="10"/>
  <c r="AC57" i="10"/>
  <c r="AC69" i="10"/>
  <c r="AC58" i="10"/>
  <c r="AC70" i="10"/>
  <c r="AC5" i="10"/>
  <c r="AC4" i="10"/>
  <c r="AB7" i="44"/>
  <c r="AC9" i="45"/>
  <c r="AC4" i="12"/>
  <c r="AB8" i="44"/>
  <c r="AC10" i="45"/>
  <c r="AB33" i="44"/>
  <c r="AD6" i="23"/>
  <c r="AD4" i="23"/>
  <c r="AB10" i="44"/>
  <c r="AC12" i="45"/>
  <c r="AC83" i="45"/>
  <c r="AC41" i="44"/>
  <c r="AC42" i="44"/>
  <c r="AC9" i="19"/>
  <c r="AC8" i="19"/>
  <c r="AC11" i="19"/>
  <c r="AC4" i="19"/>
  <c r="AC9" i="44"/>
  <c r="AD34" i="45"/>
  <c r="AD11" i="45"/>
  <c r="AD4" i="2"/>
  <c r="AC5" i="44"/>
  <c r="AD7" i="45"/>
  <c r="AC6" i="43"/>
  <c r="AC11" i="43"/>
  <c r="AC4" i="43"/>
  <c r="AC6" i="44"/>
  <c r="AD8" i="45"/>
  <c r="AD51" i="10"/>
  <c r="AD63" i="10"/>
  <c r="AD52" i="10"/>
  <c r="AD64" i="10"/>
  <c r="AD53" i="10"/>
  <c r="AD65" i="10"/>
  <c r="AD54" i="10"/>
  <c r="AD66" i="10"/>
  <c r="AD55" i="10"/>
  <c r="AD67" i="10"/>
  <c r="AD56" i="10"/>
  <c r="AD68" i="10"/>
  <c r="AD57" i="10"/>
  <c r="AD69" i="10"/>
  <c r="AD58" i="10"/>
  <c r="AD70" i="10"/>
  <c r="AD5" i="10"/>
  <c r="AD4" i="10"/>
  <c r="AC7" i="44"/>
  <c r="AD9" i="45"/>
  <c r="AD4" i="12"/>
  <c r="AC8" i="44"/>
  <c r="AD10" i="45"/>
  <c r="AC33" i="44"/>
  <c r="AE6" i="23"/>
  <c r="AE4" i="23"/>
  <c r="AC10" i="44"/>
  <c r="AD12" i="45"/>
  <c r="AD83" i="45"/>
  <c r="AD41" i="44"/>
  <c r="AD42" i="44"/>
  <c r="AD9" i="19"/>
  <c r="AD8" i="19"/>
  <c r="AD11" i="19"/>
  <c r="AD4" i="19"/>
  <c r="AD9" i="44"/>
  <c r="AE34" i="45"/>
  <c r="AE11" i="45"/>
  <c r="AE4" i="2"/>
  <c r="AD5" i="44"/>
  <c r="AE7" i="45"/>
  <c r="AD6" i="43"/>
  <c r="AD11" i="43"/>
  <c r="AD4" i="43"/>
  <c r="AD6" i="44"/>
  <c r="AE8" i="45"/>
  <c r="AE51" i="10"/>
  <c r="AE63" i="10"/>
  <c r="AE52" i="10"/>
  <c r="AE64" i="10"/>
  <c r="AE53" i="10"/>
  <c r="AE65" i="10"/>
  <c r="AE54" i="10"/>
  <c r="AE66" i="10"/>
  <c r="AE55" i="10"/>
  <c r="AE67" i="10"/>
  <c r="AE56" i="10"/>
  <c r="AE68" i="10"/>
  <c r="AE57" i="10"/>
  <c r="AE69" i="10"/>
  <c r="AE58" i="10"/>
  <c r="AE70" i="10"/>
  <c r="AE5" i="10"/>
  <c r="AE4" i="10"/>
  <c r="AD7" i="44"/>
  <c r="AE9" i="45"/>
  <c r="AE4" i="12"/>
  <c r="AD8" i="44"/>
  <c r="AE10" i="45"/>
  <c r="AD33" i="44"/>
  <c r="AF6" i="23"/>
  <c r="AF4" i="23"/>
  <c r="AD10" i="44"/>
  <c r="AE12" i="45"/>
  <c r="AE83" i="45"/>
  <c r="AE41" i="44"/>
  <c r="AE42" i="44"/>
  <c r="AE9" i="19"/>
  <c r="AE8" i="19"/>
  <c r="AE11" i="19"/>
  <c r="AE4" i="19"/>
  <c r="AE9" i="44"/>
  <c r="AF34" i="45"/>
  <c r="AF11" i="45"/>
  <c r="AF4" i="2"/>
  <c r="AE5" i="44"/>
  <c r="AF7" i="45"/>
  <c r="AE6" i="43"/>
  <c r="AE11" i="43"/>
  <c r="AE4" i="43"/>
  <c r="AE6" i="44"/>
  <c r="AF8" i="45"/>
  <c r="AF51" i="10"/>
  <c r="AF63" i="10"/>
  <c r="AF52" i="10"/>
  <c r="AF64" i="10"/>
  <c r="AF53" i="10"/>
  <c r="AF65" i="10"/>
  <c r="AF54" i="10"/>
  <c r="AF66" i="10"/>
  <c r="AF55" i="10"/>
  <c r="AF67" i="10"/>
  <c r="AF56" i="10"/>
  <c r="AF68" i="10"/>
  <c r="AF57" i="10"/>
  <c r="AF69" i="10"/>
  <c r="AF58" i="10"/>
  <c r="AF70" i="10"/>
  <c r="AF5" i="10"/>
  <c r="AF4" i="10"/>
  <c r="AE7" i="44"/>
  <c r="AF9" i="45"/>
  <c r="AF4" i="12"/>
  <c r="AE8" i="44"/>
  <c r="AF10" i="45"/>
  <c r="AE33" i="44"/>
  <c r="AG6" i="23"/>
  <c r="AG4" i="23"/>
  <c r="AE10" i="44"/>
  <c r="AF12" i="45"/>
  <c r="AF83" i="45"/>
  <c r="AF41" i="44"/>
  <c r="AF42" i="44"/>
  <c r="AF9" i="19"/>
  <c r="AF8" i="19"/>
  <c r="AF11" i="19"/>
  <c r="AF4" i="19"/>
  <c r="AF9" i="44"/>
  <c r="AG34" i="45"/>
  <c r="AG11" i="45"/>
  <c r="AG4" i="2"/>
  <c r="AF5" i="44"/>
  <c r="AG7" i="45"/>
  <c r="AF6" i="43"/>
  <c r="AF11" i="43"/>
  <c r="AF4" i="43"/>
  <c r="AF6" i="44"/>
  <c r="AG8" i="45"/>
  <c r="AG51" i="10"/>
  <c r="AG63" i="10"/>
  <c r="AG52" i="10"/>
  <c r="AG64" i="10"/>
  <c r="AG53" i="10"/>
  <c r="AG65" i="10"/>
  <c r="AG54" i="10"/>
  <c r="AG66" i="10"/>
  <c r="AG55" i="10"/>
  <c r="AG67" i="10"/>
  <c r="AG56" i="10"/>
  <c r="AG68" i="10"/>
  <c r="AG57" i="10"/>
  <c r="AG69" i="10"/>
  <c r="AG58" i="10"/>
  <c r="AG70" i="10"/>
  <c r="AG5" i="10"/>
  <c r="AG4" i="10"/>
  <c r="AF7" i="44"/>
  <c r="AG9" i="45"/>
  <c r="AG4" i="12"/>
  <c r="AF8" i="44"/>
  <c r="AG10" i="45"/>
  <c r="AF33" i="44"/>
  <c r="AH6" i="23"/>
  <c r="AH4" i="23"/>
  <c r="AF10" i="44"/>
  <c r="AG12" i="45"/>
  <c r="AG83" i="45"/>
  <c r="AG41" i="44"/>
  <c r="AG42" i="44"/>
  <c r="AG9" i="19"/>
  <c r="AG8" i="19"/>
  <c r="AG11" i="19"/>
  <c r="AG4" i="19"/>
  <c r="AG9" i="44"/>
  <c r="AH34" i="45"/>
  <c r="AH11" i="45"/>
  <c r="AH4" i="2"/>
  <c r="AG5" i="44"/>
  <c r="AH7" i="45"/>
  <c r="AG6" i="43"/>
  <c r="AG11" i="43"/>
  <c r="AG4" i="43"/>
  <c r="AG6" i="44"/>
  <c r="AH8" i="45"/>
  <c r="AH51" i="10"/>
  <c r="AH63" i="10"/>
  <c r="AH52" i="10"/>
  <c r="AH64" i="10"/>
  <c r="AH53" i="10"/>
  <c r="AH65" i="10"/>
  <c r="AH54" i="10"/>
  <c r="AH66" i="10"/>
  <c r="AH55" i="10"/>
  <c r="AH67" i="10"/>
  <c r="AH56" i="10"/>
  <c r="AH68" i="10"/>
  <c r="AH57" i="10"/>
  <c r="AH69" i="10"/>
  <c r="AH58" i="10"/>
  <c r="AH70" i="10"/>
  <c r="AH5" i="10"/>
  <c r="AH4" i="10"/>
  <c r="AG7" i="44"/>
  <c r="AH9" i="45"/>
  <c r="AH4" i="12"/>
  <c r="AG8" i="44"/>
  <c r="AH10" i="45"/>
  <c r="AG33" i="44"/>
  <c r="AI6" i="23"/>
  <c r="AI4" i="23"/>
  <c r="AG10" i="44"/>
  <c r="AH12" i="45"/>
  <c r="AH83" i="45"/>
  <c r="AH41" i="44"/>
  <c r="AH42" i="44"/>
  <c r="AH9" i="19"/>
  <c r="AH8" i="19"/>
  <c r="AH11" i="19"/>
  <c r="AH4" i="19"/>
  <c r="AH9" i="44"/>
  <c r="AI34" i="45"/>
  <c r="AI11" i="45"/>
  <c r="AI4" i="2"/>
  <c r="AH5" i="44"/>
  <c r="AI7" i="45"/>
  <c r="AH6" i="43"/>
  <c r="AH11" i="43"/>
  <c r="AH4" i="43"/>
  <c r="AH6" i="44"/>
  <c r="AI8" i="45"/>
  <c r="AI51" i="10"/>
  <c r="AI63" i="10"/>
  <c r="AI52" i="10"/>
  <c r="AI64" i="10"/>
  <c r="AI53" i="10"/>
  <c r="AI65" i="10"/>
  <c r="AI54" i="10"/>
  <c r="AI66" i="10"/>
  <c r="AI55" i="10"/>
  <c r="AI67" i="10"/>
  <c r="AI56" i="10"/>
  <c r="AI68" i="10"/>
  <c r="AI57" i="10"/>
  <c r="AI69" i="10"/>
  <c r="AI58" i="10"/>
  <c r="AI70" i="10"/>
  <c r="AI5" i="10"/>
  <c r="AI4" i="10"/>
  <c r="AH7" i="44"/>
  <c r="AI9" i="45"/>
  <c r="AI4" i="12"/>
  <c r="AH8" i="44"/>
  <c r="AI10" i="45"/>
  <c r="AH33" i="44"/>
  <c r="AJ6" i="23"/>
  <c r="AJ4" i="23"/>
  <c r="AH10" i="44"/>
  <c r="AI12" i="45"/>
  <c r="AI83" i="45"/>
  <c r="AI41" i="44"/>
  <c r="AI42" i="44"/>
  <c r="AI9" i="19"/>
  <c r="AI8" i="19"/>
  <c r="AI11" i="19"/>
  <c r="AI4" i="19"/>
  <c r="AI9" i="44"/>
  <c r="AJ34" i="45"/>
  <c r="AJ11" i="45"/>
  <c r="AJ4" i="2"/>
  <c r="AI5" i="44"/>
  <c r="AJ7" i="45"/>
  <c r="AI6" i="43"/>
  <c r="AI11" i="43"/>
  <c r="AI4" i="43"/>
  <c r="AI6" i="44"/>
  <c r="AJ8" i="45"/>
  <c r="AJ51" i="10"/>
  <c r="AJ63" i="10"/>
  <c r="AJ52" i="10"/>
  <c r="AJ64" i="10"/>
  <c r="AJ53" i="10"/>
  <c r="AJ65" i="10"/>
  <c r="AJ54" i="10"/>
  <c r="AJ66" i="10"/>
  <c r="AJ55" i="10"/>
  <c r="AJ67" i="10"/>
  <c r="AJ56" i="10"/>
  <c r="AJ68" i="10"/>
  <c r="AJ57" i="10"/>
  <c r="AJ69" i="10"/>
  <c r="AJ58" i="10"/>
  <c r="AJ70" i="10"/>
  <c r="AJ5" i="10"/>
  <c r="AJ4" i="10"/>
  <c r="AI7" i="44"/>
  <c r="AJ9" i="45"/>
  <c r="AJ4" i="12"/>
  <c r="AI8" i="44"/>
  <c r="AJ10" i="45"/>
  <c r="AI33" i="44"/>
  <c r="AK6" i="23"/>
  <c r="AK4" i="23"/>
  <c r="AI10" i="44"/>
  <c r="AJ12" i="45"/>
  <c r="AJ83" i="45"/>
  <c r="AJ41" i="44"/>
  <c r="AJ42" i="44"/>
  <c r="AJ9" i="19"/>
  <c r="AJ8" i="19"/>
  <c r="AJ11" i="19"/>
  <c r="AJ4" i="19"/>
  <c r="AJ9" i="44"/>
  <c r="AK34" i="45"/>
  <c r="AK11" i="45"/>
  <c r="AK4" i="2"/>
  <c r="AJ5" i="44"/>
  <c r="AK7" i="45"/>
  <c r="AJ6" i="43"/>
  <c r="AJ11" i="43"/>
  <c r="AJ4" i="43"/>
  <c r="AJ6" i="44"/>
  <c r="AK8" i="45"/>
  <c r="AK51" i="10"/>
  <c r="AK63" i="10"/>
  <c r="AK52" i="10"/>
  <c r="AK64" i="10"/>
  <c r="AK53" i="10"/>
  <c r="AK65" i="10"/>
  <c r="AK54" i="10"/>
  <c r="AK66" i="10"/>
  <c r="AK55" i="10"/>
  <c r="AK67" i="10"/>
  <c r="AK56" i="10"/>
  <c r="AK68" i="10"/>
  <c r="AK57" i="10"/>
  <c r="AK69" i="10"/>
  <c r="AK58" i="10"/>
  <c r="AK70" i="10"/>
  <c r="AK5" i="10"/>
  <c r="AK4" i="10"/>
  <c r="AJ7" i="44"/>
  <c r="AK9" i="45"/>
  <c r="AK4" i="12"/>
  <c r="AJ8" i="44"/>
  <c r="AK10" i="45"/>
  <c r="AJ33" i="44"/>
  <c r="AL6" i="23"/>
  <c r="AL4" i="23"/>
  <c r="AJ10" i="44"/>
  <c r="AK12" i="45"/>
  <c r="AK83" i="45"/>
  <c r="AK41" i="44"/>
  <c r="AK42" i="44"/>
  <c r="AK9" i="19"/>
  <c r="AK8" i="19"/>
  <c r="AK11" i="19"/>
  <c r="AK4" i="19"/>
  <c r="AK9" i="44"/>
  <c r="AL34" i="45"/>
  <c r="AL11" i="45"/>
  <c r="AL4" i="2"/>
  <c r="AK5" i="44"/>
  <c r="AL7" i="45"/>
  <c r="AK6" i="43"/>
  <c r="AK11" i="43"/>
  <c r="AK4" i="43"/>
  <c r="AK6" i="44"/>
  <c r="AL8" i="45"/>
  <c r="AL51" i="10"/>
  <c r="AL63" i="10"/>
  <c r="AL52" i="10"/>
  <c r="AL64" i="10"/>
  <c r="AL53" i="10"/>
  <c r="AL65" i="10"/>
  <c r="AL54" i="10"/>
  <c r="AL66" i="10"/>
  <c r="AL55" i="10"/>
  <c r="AL67" i="10"/>
  <c r="AL56" i="10"/>
  <c r="AL68" i="10"/>
  <c r="AL57" i="10"/>
  <c r="AL69" i="10"/>
  <c r="AL58" i="10"/>
  <c r="AL70" i="10"/>
  <c r="AL5" i="10"/>
  <c r="AL4" i="10"/>
  <c r="AK7" i="44"/>
  <c r="AL9" i="45"/>
  <c r="AL4" i="12"/>
  <c r="AK8" i="44"/>
  <c r="AL10" i="45"/>
  <c r="AK33" i="44"/>
  <c r="AM6" i="23"/>
  <c r="AM4" i="23"/>
  <c r="AK10" i="44"/>
  <c r="AL12" i="45"/>
  <c r="AL83" i="45"/>
  <c r="AL41" i="44"/>
  <c r="AL42" i="44"/>
  <c r="AL9" i="19"/>
  <c r="AL8" i="19"/>
  <c r="AL11" i="19"/>
  <c r="AL4" i="19"/>
  <c r="AL9" i="44"/>
  <c r="AM34" i="45"/>
  <c r="AM11" i="45"/>
  <c r="AM4" i="2"/>
  <c r="AL5" i="44"/>
  <c r="AM7" i="45"/>
  <c r="AL6" i="43"/>
  <c r="AL11" i="43"/>
  <c r="AL4" i="43"/>
  <c r="AL6" i="44"/>
  <c r="AM8" i="45"/>
  <c r="AM51" i="10"/>
  <c r="AM63" i="10"/>
  <c r="AM52" i="10"/>
  <c r="AM64" i="10"/>
  <c r="AM53" i="10"/>
  <c r="AM65" i="10"/>
  <c r="AM54" i="10"/>
  <c r="AM66" i="10"/>
  <c r="AM55" i="10"/>
  <c r="AM67" i="10"/>
  <c r="AM56" i="10"/>
  <c r="AM68" i="10"/>
  <c r="AM57" i="10"/>
  <c r="AM69" i="10"/>
  <c r="AM58" i="10"/>
  <c r="AM70" i="10"/>
  <c r="AM5" i="10"/>
  <c r="AM4" i="10"/>
  <c r="AL7" i="44"/>
  <c r="AM9" i="45"/>
  <c r="AM4" i="12"/>
  <c r="AL8" i="44"/>
  <c r="AM10" i="45"/>
  <c r="AL33" i="44"/>
  <c r="AN6" i="23"/>
  <c r="AN4" i="23"/>
  <c r="AL10" i="44"/>
  <c r="AM12" i="45"/>
  <c r="AM83" i="45"/>
  <c r="AM41" i="44"/>
  <c r="AM42" i="44"/>
  <c r="AM9" i="19"/>
  <c r="AM8" i="19"/>
  <c r="AM11" i="19"/>
  <c r="AM4" i="19"/>
  <c r="AM9" i="44"/>
  <c r="AN34" i="45"/>
  <c r="AN11" i="45"/>
  <c r="AN4" i="2"/>
  <c r="AM5" i="44"/>
  <c r="AN7" i="45"/>
  <c r="AM6" i="43"/>
  <c r="AM11" i="43"/>
  <c r="AM4" i="43"/>
  <c r="AM6" i="44"/>
  <c r="AN8" i="45"/>
  <c r="AN51" i="10"/>
  <c r="AN63" i="10"/>
  <c r="AN52" i="10"/>
  <c r="AN64" i="10"/>
  <c r="AN53" i="10"/>
  <c r="AN65" i="10"/>
  <c r="AN54" i="10"/>
  <c r="AN66" i="10"/>
  <c r="AN55" i="10"/>
  <c r="AN67" i="10"/>
  <c r="AN56" i="10"/>
  <c r="AN68" i="10"/>
  <c r="AN57" i="10"/>
  <c r="AN69" i="10"/>
  <c r="AN58" i="10"/>
  <c r="AN70" i="10"/>
  <c r="AN5" i="10"/>
  <c r="AN4" i="10"/>
  <c r="AM7" i="44"/>
  <c r="AN9" i="45"/>
  <c r="AN4" i="12"/>
  <c r="AM8" i="44"/>
  <c r="AN10" i="45"/>
  <c r="AM33" i="44"/>
  <c r="AO6" i="23"/>
  <c r="AO4" i="23"/>
  <c r="AM10" i="44"/>
  <c r="AN12" i="45"/>
  <c r="AN83" i="45"/>
  <c r="AN41" i="44"/>
  <c r="AN42" i="44"/>
  <c r="AN9" i="19"/>
  <c r="AN8" i="19"/>
  <c r="AN11" i="19"/>
  <c r="AN4" i="19"/>
  <c r="AN9" i="44"/>
  <c r="AO34" i="45"/>
  <c r="AO11" i="45"/>
  <c r="AO4" i="2"/>
  <c r="AN5" i="44"/>
  <c r="AO7" i="45"/>
  <c r="AN6" i="43"/>
  <c r="AN11" i="43"/>
  <c r="AN4" i="43"/>
  <c r="AN6" i="44"/>
  <c r="AO8" i="45"/>
  <c r="AO51" i="10"/>
  <c r="AO63" i="10"/>
  <c r="AO52" i="10"/>
  <c r="AO64" i="10"/>
  <c r="AO53" i="10"/>
  <c r="AO65" i="10"/>
  <c r="AO54" i="10"/>
  <c r="AO66" i="10"/>
  <c r="AO55" i="10"/>
  <c r="AO67" i="10"/>
  <c r="AO56" i="10"/>
  <c r="AO68" i="10"/>
  <c r="AO57" i="10"/>
  <c r="AO69" i="10"/>
  <c r="AO58" i="10"/>
  <c r="AO70" i="10"/>
  <c r="AO5" i="10"/>
  <c r="AO4" i="10"/>
  <c r="AN7" i="44"/>
  <c r="AO9" i="45"/>
  <c r="AO4" i="12"/>
  <c r="AN8" i="44"/>
  <c r="AO10" i="45"/>
  <c r="AN33" i="44"/>
  <c r="AP6" i="23"/>
  <c r="AP4" i="23"/>
  <c r="AN10" i="44"/>
  <c r="AO12" i="45"/>
  <c r="AO83" i="45"/>
  <c r="AO41" i="44"/>
  <c r="AO42" i="44"/>
  <c r="AO9" i="19"/>
  <c r="AO8" i="19"/>
  <c r="AO11" i="19"/>
  <c r="AO4" i="19"/>
  <c r="AO9" i="44"/>
  <c r="AP34" i="45"/>
  <c r="AP11" i="45"/>
  <c r="AP4" i="2"/>
  <c r="AO5" i="44"/>
  <c r="AP7" i="45"/>
  <c r="AO6" i="43"/>
  <c r="AO11" i="43"/>
  <c r="AO4" i="43"/>
  <c r="AO6" i="44"/>
  <c r="AP8" i="45"/>
  <c r="AP51" i="10"/>
  <c r="AP63" i="10"/>
  <c r="AP52" i="10"/>
  <c r="AP64" i="10"/>
  <c r="AP53" i="10"/>
  <c r="AP65" i="10"/>
  <c r="AP54" i="10"/>
  <c r="AP66" i="10"/>
  <c r="AP55" i="10"/>
  <c r="AP67" i="10"/>
  <c r="AP56" i="10"/>
  <c r="AP68" i="10"/>
  <c r="AP57" i="10"/>
  <c r="AP69" i="10"/>
  <c r="AP58" i="10"/>
  <c r="AP70" i="10"/>
  <c r="AP5" i="10"/>
  <c r="AP4" i="10"/>
  <c r="AO7" i="44"/>
  <c r="AP9" i="45"/>
  <c r="AP4" i="12"/>
  <c r="AO8" i="44"/>
  <c r="AP10" i="45"/>
  <c r="AO33" i="44"/>
  <c r="AQ6" i="23"/>
  <c r="AQ4" i="23"/>
  <c r="AO10" i="44"/>
  <c r="AP12" i="45"/>
  <c r="AP83" i="45"/>
  <c r="AP41" i="44"/>
  <c r="AP42" i="44"/>
  <c r="AP9" i="19"/>
  <c r="AP8" i="19"/>
  <c r="AP11" i="19"/>
  <c r="AP4" i="19"/>
  <c r="AP9" i="44"/>
  <c r="AQ34" i="45"/>
  <c r="AQ11" i="45"/>
  <c r="AQ4" i="2"/>
  <c r="AP5" i="44"/>
  <c r="AQ7" i="45"/>
  <c r="AP6" i="43"/>
  <c r="AP11" i="43"/>
  <c r="AP4" i="43"/>
  <c r="AP6" i="44"/>
  <c r="AQ8" i="45"/>
  <c r="AQ51" i="10"/>
  <c r="AQ63" i="10"/>
  <c r="AQ52" i="10"/>
  <c r="AQ64" i="10"/>
  <c r="AQ53" i="10"/>
  <c r="AQ65" i="10"/>
  <c r="AQ54" i="10"/>
  <c r="AQ66" i="10"/>
  <c r="AQ55" i="10"/>
  <c r="AQ67" i="10"/>
  <c r="AQ56" i="10"/>
  <c r="AQ68" i="10"/>
  <c r="AQ57" i="10"/>
  <c r="AQ69" i="10"/>
  <c r="AQ58" i="10"/>
  <c r="AQ70" i="10"/>
  <c r="AQ5" i="10"/>
  <c r="AQ4" i="10"/>
  <c r="AP7" i="44"/>
  <c r="AQ9" i="45"/>
  <c r="AQ4" i="12"/>
  <c r="AP8" i="44"/>
  <c r="AQ10" i="45"/>
  <c r="AP33" i="44"/>
  <c r="AR6" i="23"/>
  <c r="AR4" i="23"/>
  <c r="AP10" i="44"/>
  <c r="AQ12" i="45"/>
  <c r="AQ83" i="45"/>
  <c r="AQ41" i="44"/>
  <c r="AQ42" i="44"/>
  <c r="AQ9" i="19"/>
  <c r="AQ8" i="19"/>
  <c r="AQ11" i="19"/>
  <c r="AQ4" i="19"/>
  <c r="AQ9" i="44"/>
  <c r="AR34" i="45"/>
  <c r="AR11" i="45"/>
  <c r="AR4" i="2"/>
  <c r="AQ5" i="44"/>
  <c r="AR7" i="45"/>
  <c r="AQ6" i="43"/>
  <c r="AQ11" i="43"/>
  <c r="AQ4" i="43"/>
  <c r="AQ6" i="44"/>
  <c r="AR8" i="45"/>
  <c r="AR51" i="10"/>
  <c r="AR63" i="10"/>
  <c r="AR52" i="10"/>
  <c r="AR64" i="10"/>
  <c r="AR53" i="10"/>
  <c r="AR65" i="10"/>
  <c r="AR54" i="10"/>
  <c r="AR66" i="10"/>
  <c r="AR55" i="10"/>
  <c r="AR67" i="10"/>
  <c r="AR56" i="10"/>
  <c r="AR68" i="10"/>
  <c r="AR57" i="10"/>
  <c r="AR69" i="10"/>
  <c r="AR58" i="10"/>
  <c r="AR70" i="10"/>
  <c r="AR5" i="10"/>
  <c r="AR4" i="10"/>
  <c r="AQ7" i="44"/>
  <c r="AR9" i="45"/>
  <c r="AR4" i="12"/>
  <c r="AQ8" i="44"/>
  <c r="AR10" i="45"/>
  <c r="AQ33" i="44"/>
  <c r="AS6" i="23"/>
  <c r="AS4" i="23"/>
  <c r="AQ10" i="44"/>
  <c r="AR12" i="45"/>
  <c r="AR83" i="45"/>
  <c r="AR41" i="44"/>
  <c r="AR42" i="44"/>
  <c r="AR9" i="19"/>
  <c r="AR8" i="19"/>
  <c r="AR11" i="19"/>
  <c r="AR4" i="19"/>
  <c r="AR9" i="44"/>
  <c r="AS34" i="45"/>
  <c r="AS11" i="45"/>
  <c r="AS4" i="2"/>
  <c r="AR5" i="44"/>
  <c r="AS7" i="45"/>
  <c r="AR6" i="43"/>
  <c r="AR11" i="43"/>
  <c r="AR4" i="43"/>
  <c r="AR6" i="44"/>
  <c r="AS8" i="45"/>
  <c r="AS51" i="10"/>
  <c r="AS63" i="10"/>
  <c r="AS52" i="10"/>
  <c r="AS64" i="10"/>
  <c r="AS53" i="10"/>
  <c r="AS65" i="10"/>
  <c r="AS54" i="10"/>
  <c r="AS66" i="10"/>
  <c r="AS55" i="10"/>
  <c r="AS67" i="10"/>
  <c r="AS56" i="10"/>
  <c r="AS68" i="10"/>
  <c r="AS57" i="10"/>
  <c r="AS69" i="10"/>
  <c r="AS58" i="10"/>
  <c r="AS70" i="10"/>
  <c r="AS5" i="10"/>
  <c r="AS4" i="10"/>
  <c r="AR7" i="44"/>
  <c r="AS9" i="45"/>
  <c r="AS4" i="12"/>
  <c r="AR8" i="44"/>
  <c r="AS10" i="45"/>
  <c r="AR33" i="44"/>
  <c r="AT6" i="23"/>
  <c r="AT4" i="23"/>
  <c r="AR10" i="44"/>
  <c r="AS12" i="45"/>
  <c r="AS83" i="45"/>
  <c r="AS41" i="44"/>
  <c r="AS42" i="44"/>
  <c r="AS9" i="19"/>
  <c r="AS8" i="19"/>
  <c r="AS11" i="19"/>
  <c r="AS4" i="19"/>
  <c r="AS9" i="44"/>
  <c r="AT34" i="45"/>
  <c r="AT11" i="45"/>
  <c r="AT4" i="2"/>
  <c r="AS5" i="44"/>
  <c r="AT7" i="45"/>
  <c r="AS6" i="43"/>
  <c r="AS11" i="43"/>
  <c r="AS4" i="43"/>
  <c r="AS6" i="44"/>
  <c r="AT8" i="45"/>
  <c r="AT51" i="10"/>
  <c r="AT63" i="10"/>
  <c r="AT52" i="10"/>
  <c r="AT64" i="10"/>
  <c r="AT53" i="10"/>
  <c r="AT65" i="10"/>
  <c r="AT54" i="10"/>
  <c r="AT66" i="10"/>
  <c r="AT55" i="10"/>
  <c r="AT67" i="10"/>
  <c r="AT56" i="10"/>
  <c r="AT68" i="10"/>
  <c r="AT57" i="10"/>
  <c r="AT69" i="10"/>
  <c r="AT58" i="10"/>
  <c r="AT70" i="10"/>
  <c r="AT5" i="10"/>
  <c r="AT4" i="10"/>
  <c r="AS7" i="44"/>
  <c r="AT9" i="45"/>
  <c r="AT4" i="12"/>
  <c r="AS8" i="44"/>
  <c r="AT10" i="45"/>
  <c r="AS33" i="44"/>
  <c r="AU6" i="23"/>
  <c r="AU4" i="23"/>
  <c r="AS10" i="44"/>
  <c r="AT12" i="45"/>
  <c r="AT83" i="45"/>
  <c r="AT41" i="44"/>
  <c r="AT42" i="44"/>
  <c r="AT9" i="19"/>
  <c r="AT8" i="19"/>
  <c r="AT11" i="19"/>
  <c r="AT4" i="19"/>
  <c r="AT9" i="44"/>
  <c r="AU34" i="45"/>
  <c r="AU11" i="45"/>
  <c r="AU4" i="2"/>
  <c r="AT5" i="44"/>
  <c r="AU7" i="45"/>
  <c r="AT6" i="43"/>
  <c r="AT11" i="43"/>
  <c r="AT4" i="43"/>
  <c r="AT6" i="44"/>
  <c r="AU8" i="45"/>
  <c r="AU51" i="10"/>
  <c r="AU63" i="10"/>
  <c r="AU52" i="10"/>
  <c r="AU64" i="10"/>
  <c r="AU53" i="10"/>
  <c r="AU65" i="10"/>
  <c r="AU54" i="10"/>
  <c r="AU66" i="10"/>
  <c r="AU55" i="10"/>
  <c r="AU67" i="10"/>
  <c r="AU56" i="10"/>
  <c r="AU68" i="10"/>
  <c r="AU57" i="10"/>
  <c r="AU69" i="10"/>
  <c r="AU58" i="10"/>
  <c r="AU70" i="10"/>
  <c r="AU5" i="10"/>
  <c r="AU4" i="10"/>
  <c r="AT7" i="44"/>
  <c r="AU9" i="45"/>
  <c r="AU4" i="12"/>
  <c r="AT8" i="44"/>
  <c r="AU10" i="45"/>
  <c r="AT33" i="44"/>
  <c r="AV6" i="23"/>
  <c r="AV4" i="23"/>
  <c r="AT10" i="44"/>
  <c r="AU12" i="45"/>
  <c r="AU83" i="45"/>
  <c r="AU41" i="44"/>
  <c r="AU42" i="44"/>
  <c r="AU9" i="19"/>
  <c r="AU8" i="19"/>
  <c r="AU11" i="19"/>
  <c r="AU4" i="19"/>
  <c r="AU9" i="44"/>
  <c r="AV34" i="45"/>
  <c r="AV11" i="45"/>
  <c r="AV4" i="2"/>
  <c r="AU5" i="44"/>
  <c r="AV7" i="45"/>
  <c r="AU6" i="43"/>
  <c r="AU11" i="43"/>
  <c r="AU4" i="43"/>
  <c r="AU6" i="44"/>
  <c r="AV8" i="45"/>
  <c r="AV51" i="10"/>
  <c r="AV63" i="10"/>
  <c r="AV52" i="10"/>
  <c r="AV64" i="10"/>
  <c r="AV53" i="10"/>
  <c r="AV65" i="10"/>
  <c r="AV54" i="10"/>
  <c r="AV66" i="10"/>
  <c r="AV55" i="10"/>
  <c r="AV67" i="10"/>
  <c r="AV56" i="10"/>
  <c r="AV68" i="10"/>
  <c r="AV57" i="10"/>
  <c r="AV69" i="10"/>
  <c r="AV58" i="10"/>
  <c r="AV70" i="10"/>
  <c r="AV5" i="10"/>
  <c r="AV4" i="10"/>
  <c r="AU7" i="44"/>
  <c r="AV9" i="45"/>
  <c r="AV4" i="12"/>
  <c r="AU8" i="44"/>
  <c r="AV10" i="45"/>
  <c r="AU33" i="44"/>
  <c r="AW6" i="23"/>
  <c r="AW4" i="23"/>
  <c r="AU10" i="44"/>
  <c r="AV12" i="45"/>
  <c r="AV83" i="45"/>
  <c r="AV41" i="44"/>
  <c r="AV42" i="44"/>
  <c r="AV9" i="19"/>
  <c r="AV8" i="19"/>
  <c r="AV11" i="19"/>
  <c r="AV4" i="19"/>
  <c r="AV9" i="44"/>
  <c r="AW34" i="45"/>
  <c r="AW11" i="45"/>
  <c r="AW4" i="2"/>
  <c r="AV5" i="44"/>
  <c r="AW7" i="45"/>
  <c r="AV6" i="43"/>
  <c r="AV11" i="43"/>
  <c r="AV4" i="43"/>
  <c r="AV6" i="44"/>
  <c r="AW8" i="45"/>
  <c r="AW51" i="10"/>
  <c r="AW63" i="10"/>
  <c r="AW52" i="10"/>
  <c r="AW64" i="10"/>
  <c r="AW53" i="10"/>
  <c r="AW65" i="10"/>
  <c r="AW54" i="10"/>
  <c r="AW66" i="10"/>
  <c r="AW55" i="10"/>
  <c r="AW67" i="10"/>
  <c r="AW56" i="10"/>
  <c r="AW68" i="10"/>
  <c r="AW57" i="10"/>
  <c r="AW69" i="10"/>
  <c r="AW58" i="10"/>
  <c r="AW70" i="10"/>
  <c r="AW5" i="10"/>
  <c r="AW4" i="10"/>
  <c r="AV7" i="44"/>
  <c r="AW9" i="45"/>
  <c r="AW4" i="12"/>
  <c r="AV8" i="44"/>
  <c r="AW10" i="45"/>
  <c r="AV33" i="44"/>
  <c r="AX6" i="23"/>
  <c r="AX4" i="23"/>
  <c r="AV10" i="44"/>
  <c r="AW12" i="45"/>
  <c r="AW83" i="45"/>
  <c r="AW41" i="44"/>
  <c r="AW42" i="44"/>
  <c r="AW9" i="19"/>
  <c r="AW8" i="19"/>
  <c r="AW11" i="19"/>
  <c r="AW4" i="19"/>
  <c r="AW9" i="44"/>
  <c r="AX34" i="45"/>
  <c r="AX11" i="45"/>
  <c r="AX4" i="2"/>
  <c r="AW5" i="44"/>
  <c r="AX7" i="45"/>
  <c r="AW6" i="43"/>
  <c r="AW11" i="43"/>
  <c r="AW4" i="43"/>
  <c r="AW6" i="44"/>
  <c r="AX8" i="45"/>
  <c r="AX51" i="10"/>
  <c r="AX63" i="10"/>
  <c r="AX52" i="10"/>
  <c r="AX64" i="10"/>
  <c r="AX53" i="10"/>
  <c r="AX65" i="10"/>
  <c r="AX54" i="10"/>
  <c r="AX66" i="10"/>
  <c r="AX55" i="10"/>
  <c r="AX67" i="10"/>
  <c r="AX56" i="10"/>
  <c r="AX68" i="10"/>
  <c r="AX57" i="10"/>
  <c r="AX69" i="10"/>
  <c r="AX58" i="10"/>
  <c r="AX70" i="10"/>
  <c r="AX5" i="10"/>
  <c r="AX4" i="10"/>
  <c r="AW7" i="44"/>
  <c r="AX9" i="45"/>
  <c r="AX4" i="12"/>
  <c r="AW8" i="44"/>
  <c r="AX10" i="45"/>
  <c r="AW33" i="44"/>
  <c r="AY6" i="23"/>
  <c r="AY4" i="23"/>
  <c r="AW10" i="44"/>
  <c r="AX12" i="45"/>
  <c r="AX83" i="45"/>
  <c r="AX41" i="44"/>
  <c r="AX42" i="44"/>
  <c r="AX9" i="19"/>
  <c r="AX8" i="19"/>
  <c r="AX11" i="19"/>
  <c r="AX4" i="19"/>
  <c r="AX9" i="44"/>
  <c r="AY34" i="45"/>
  <c r="AY11" i="45"/>
  <c r="AY4" i="2"/>
  <c r="AX5" i="44"/>
  <c r="AY7" i="45"/>
  <c r="AX6" i="43"/>
  <c r="AX11" i="43"/>
  <c r="AX4" i="43"/>
  <c r="AX6" i="44"/>
  <c r="AY8" i="45"/>
  <c r="AY51" i="10"/>
  <c r="AY63" i="10"/>
  <c r="AY52" i="10"/>
  <c r="AY64" i="10"/>
  <c r="AY53" i="10"/>
  <c r="AY65" i="10"/>
  <c r="AY54" i="10"/>
  <c r="AY66" i="10"/>
  <c r="AY55" i="10"/>
  <c r="AY67" i="10"/>
  <c r="AY56" i="10"/>
  <c r="AY68" i="10"/>
  <c r="AY57" i="10"/>
  <c r="AY69" i="10"/>
  <c r="AY58" i="10"/>
  <c r="AY70" i="10"/>
  <c r="AY5" i="10"/>
  <c r="AY4" i="10"/>
  <c r="AX7" i="44"/>
  <c r="AY9" i="45"/>
  <c r="AY4" i="12"/>
  <c r="AX8" i="44"/>
  <c r="AY10" i="45"/>
  <c r="AX33" i="44"/>
  <c r="AZ6" i="23"/>
  <c r="AZ4" i="23"/>
  <c r="AX10" i="44"/>
  <c r="AY12" i="45"/>
  <c r="AY83" i="45"/>
  <c r="AY41" i="44"/>
  <c r="AY42" i="44"/>
  <c r="AY9" i="19"/>
  <c r="AY8" i="19"/>
  <c r="AY11" i="19"/>
  <c r="AY4" i="19"/>
  <c r="AY9" i="44"/>
  <c r="AZ34" i="45"/>
  <c r="AZ11" i="45"/>
  <c r="AZ4" i="2"/>
  <c r="AY5" i="44"/>
  <c r="AZ7" i="45"/>
  <c r="AY6" i="43"/>
  <c r="AY11" i="43"/>
  <c r="AY4" i="43"/>
  <c r="AY6" i="44"/>
  <c r="AZ8" i="45"/>
  <c r="AZ51" i="10"/>
  <c r="AZ63" i="10"/>
  <c r="AZ52" i="10"/>
  <c r="AZ64" i="10"/>
  <c r="AZ53" i="10"/>
  <c r="AZ65" i="10"/>
  <c r="AZ54" i="10"/>
  <c r="AZ66" i="10"/>
  <c r="AZ55" i="10"/>
  <c r="AZ67" i="10"/>
  <c r="AZ56" i="10"/>
  <c r="AZ68" i="10"/>
  <c r="AZ57" i="10"/>
  <c r="AZ69" i="10"/>
  <c r="AZ58" i="10"/>
  <c r="AZ70" i="10"/>
  <c r="AZ5" i="10"/>
  <c r="AZ4" i="10"/>
  <c r="AY7" i="44"/>
  <c r="AZ9" i="45"/>
  <c r="AZ4" i="12"/>
  <c r="AY8" i="44"/>
  <c r="AZ10" i="45"/>
  <c r="AY33" i="44"/>
  <c r="BA6" i="23"/>
  <c r="BA4" i="23"/>
  <c r="AY10" i="44"/>
  <c r="AZ12" i="45"/>
  <c r="AZ83" i="45"/>
  <c r="AZ41" i="44"/>
  <c r="AZ42" i="44"/>
  <c r="AZ9" i="19"/>
  <c r="AZ8" i="19"/>
  <c r="AZ11" i="19"/>
  <c r="AZ4" i="19"/>
  <c r="AZ9" i="44"/>
  <c r="BA34" i="45"/>
  <c r="BA11" i="45"/>
  <c r="BA4" i="2"/>
  <c r="AZ5" i="44"/>
  <c r="BA7" i="45"/>
  <c r="AZ6" i="43"/>
  <c r="AZ11" i="43"/>
  <c r="AZ4" i="43"/>
  <c r="AZ6" i="44"/>
  <c r="BA8" i="45"/>
  <c r="BA51" i="10"/>
  <c r="BA63" i="10"/>
  <c r="BA52" i="10"/>
  <c r="BA64" i="10"/>
  <c r="BA53" i="10"/>
  <c r="BA65" i="10"/>
  <c r="BA54" i="10"/>
  <c r="BA66" i="10"/>
  <c r="BA55" i="10"/>
  <c r="BA67" i="10"/>
  <c r="BA56" i="10"/>
  <c r="BA68" i="10"/>
  <c r="BA57" i="10"/>
  <c r="BA69" i="10"/>
  <c r="BA58" i="10"/>
  <c r="BA70" i="10"/>
  <c r="BA5" i="10"/>
  <c r="BA4" i="10"/>
  <c r="AZ7" i="44"/>
  <c r="BA9" i="45"/>
  <c r="BA4" i="12"/>
  <c r="AZ8" i="44"/>
  <c r="BA10" i="45"/>
  <c r="AZ33" i="44"/>
  <c r="BB6" i="23"/>
  <c r="BB4" i="23"/>
  <c r="AZ10" i="44"/>
  <c r="BA12" i="45"/>
  <c r="BA83" i="45"/>
  <c r="BA41" i="44"/>
  <c r="BA42" i="44"/>
  <c r="BA9" i="19"/>
  <c r="BA8" i="19"/>
  <c r="BA11" i="19"/>
  <c r="BA4" i="19"/>
  <c r="BA9" i="44"/>
  <c r="BB34" i="45"/>
  <c r="BB11" i="45"/>
  <c r="BB4" i="2"/>
  <c r="BA5" i="44"/>
  <c r="BB7" i="45"/>
  <c r="BA6" i="43"/>
  <c r="BA11" i="43"/>
  <c r="BA4" i="43"/>
  <c r="BA6" i="44"/>
  <c r="BB8" i="45"/>
  <c r="BB51" i="10"/>
  <c r="BB63" i="10"/>
  <c r="BB52" i="10"/>
  <c r="BB64" i="10"/>
  <c r="BB53" i="10"/>
  <c r="BB65" i="10"/>
  <c r="BB54" i="10"/>
  <c r="BB66" i="10"/>
  <c r="BB55" i="10"/>
  <c r="BB67" i="10"/>
  <c r="BB56" i="10"/>
  <c r="BB68" i="10"/>
  <c r="BB57" i="10"/>
  <c r="BB69" i="10"/>
  <c r="BB58" i="10"/>
  <c r="BB70" i="10"/>
  <c r="BB5" i="10"/>
  <c r="BB4" i="10"/>
  <c r="BA7" i="44"/>
  <c r="BB9" i="45"/>
  <c r="BB4" i="12"/>
  <c r="BA8" i="44"/>
  <c r="BB10" i="45"/>
  <c r="BA33" i="44"/>
  <c r="BC6" i="23"/>
  <c r="BC4" i="23"/>
  <c r="BA10" i="44"/>
  <c r="BB12" i="45"/>
  <c r="BB83" i="45"/>
  <c r="BE84" i="45"/>
  <c r="BE83" i="45"/>
  <c r="BE85" i="45"/>
  <c r="C41" i="44"/>
  <c r="C42" i="44"/>
  <c r="C9" i="19"/>
  <c r="C7" i="19"/>
  <c r="C8" i="19"/>
  <c r="C11" i="19"/>
  <c r="C4" i="19"/>
  <c r="C9" i="44"/>
  <c r="D34" i="45"/>
  <c r="D11" i="45"/>
  <c r="D5" i="2"/>
  <c r="D4" i="2"/>
  <c r="C5" i="44"/>
  <c r="D7" i="45"/>
  <c r="C4" i="43"/>
  <c r="C6" i="44"/>
  <c r="D8" i="45"/>
  <c r="D4" i="10"/>
  <c r="C7" i="44"/>
  <c r="D9" i="45"/>
  <c r="D4" i="12"/>
  <c r="C8" i="44"/>
  <c r="D10" i="45"/>
  <c r="E4" i="23"/>
  <c r="C10" i="44"/>
  <c r="D12" i="45"/>
  <c r="D83" i="45"/>
  <c r="C29" i="38"/>
  <c r="C4" i="38"/>
  <c r="C19" i="44"/>
  <c r="D34" i="48"/>
  <c r="D21" i="48"/>
  <c r="E5" i="24"/>
  <c r="E9" i="24"/>
  <c r="E13" i="24"/>
  <c r="E6" i="24"/>
  <c r="E10" i="24"/>
  <c r="E14" i="24"/>
  <c r="E7" i="24"/>
  <c r="E11" i="24"/>
  <c r="E15" i="24"/>
  <c r="E8" i="24"/>
  <c r="E12" i="24"/>
  <c r="E16" i="24"/>
  <c r="E17" i="24"/>
  <c r="E4" i="24"/>
  <c r="C17" i="44"/>
  <c r="D19" i="48"/>
  <c r="D11" i="48"/>
  <c r="D17" i="33"/>
  <c r="D9" i="33"/>
  <c r="D12" i="33"/>
  <c r="C7" i="33"/>
  <c r="C8" i="33"/>
  <c r="D13" i="33"/>
  <c r="D4" i="33"/>
  <c r="E17" i="33"/>
  <c r="E9" i="33"/>
  <c r="E11" i="33"/>
  <c r="E12" i="33"/>
  <c r="E13" i="33"/>
  <c r="E4" i="33"/>
  <c r="F17" i="33"/>
  <c r="F9" i="33"/>
  <c r="F11" i="33"/>
  <c r="F12" i="33"/>
  <c r="F13" i="33"/>
  <c r="F4" i="33"/>
  <c r="G17" i="33"/>
  <c r="G9" i="33"/>
  <c r="G11" i="33"/>
  <c r="G12" i="33"/>
  <c r="G13" i="33"/>
  <c r="G4" i="33"/>
  <c r="H17" i="33"/>
  <c r="H9" i="33"/>
  <c r="H11" i="33"/>
  <c r="H12" i="33"/>
  <c r="H13" i="33"/>
  <c r="H4" i="33"/>
  <c r="I17" i="33"/>
  <c r="I9" i="33"/>
  <c r="I11" i="33"/>
  <c r="I12" i="33"/>
  <c r="I13" i="33"/>
  <c r="I4" i="33"/>
  <c r="J17" i="33"/>
  <c r="J9" i="33"/>
  <c r="J11" i="33"/>
  <c r="J12" i="33"/>
  <c r="J13" i="33"/>
  <c r="J4" i="33"/>
  <c r="K17" i="33"/>
  <c r="K9" i="33"/>
  <c r="K11" i="33"/>
  <c r="K12" i="33"/>
  <c r="K13" i="33"/>
  <c r="K4" i="33"/>
  <c r="L17" i="33"/>
  <c r="L9" i="33"/>
  <c r="L11" i="33"/>
  <c r="L12" i="33"/>
  <c r="L13" i="33"/>
  <c r="L4" i="33"/>
  <c r="M17" i="33"/>
  <c r="M9" i="33"/>
  <c r="M11" i="33"/>
  <c r="M12" i="33"/>
  <c r="M13" i="33"/>
  <c r="M4" i="33"/>
  <c r="N17" i="33"/>
  <c r="N9" i="33"/>
  <c r="N11" i="33"/>
  <c r="N12" i="33"/>
  <c r="N13" i="33"/>
  <c r="N4" i="33"/>
  <c r="O17" i="33"/>
  <c r="O9" i="33"/>
  <c r="O11" i="33"/>
  <c r="O12" i="33"/>
  <c r="O13" i="33"/>
  <c r="O4" i="33"/>
  <c r="P17" i="33"/>
  <c r="P9" i="33"/>
  <c r="P11" i="33"/>
  <c r="P12" i="33"/>
  <c r="P13" i="33"/>
  <c r="P4" i="33"/>
  <c r="Q17" i="33"/>
  <c r="Q9" i="33"/>
  <c r="Q11" i="33"/>
  <c r="Q12" i="33"/>
  <c r="Q13" i="33"/>
  <c r="Q4" i="33"/>
  <c r="R17" i="33"/>
  <c r="R9" i="33"/>
  <c r="R11" i="33"/>
  <c r="R12" i="33"/>
  <c r="R13" i="33"/>
  <c r="R4" i="33"/>
  <c r="S17" i="33"/>
  <c r="S9" i="33"/>
  <c r="S11" i="33"/>
  <c r="S12" i="33"/>
  <c r="S13" i="33"/>
  <c r="S4" i="33"/>
  <c r="T17" i="33"/>
  <c r="T9" i="33"/>
  <c r="T11" i="33"/>
  <c r="T12" i="33"/>
  <c r="T13" i="33"/>
  <c r="T4" i="33"/>
  <c r="U17" i="33"/>
  <c r="U9" i="33"/>
  <c r="U11" i="33"/>
  <c r="U12" i="33"/>
  <c r="U13" i="33"/>
  <c r="U4" i="33"/>
  <c r="V17" i="33"/>
  <c r="V9" i="33"/>
  <c r="V11" i="33"/>
  <c r="V12" i="33"/>
  <c r="V13" i="33"/>
  <c r="V4" i="33"/>
  <c r="W17" i="33"/>
  <c r="W9" i="33"/>
  <c r="W11" i="33"/>
  <c r="W12" i="33"/>
  <c r="W13" i="33"/>
  <c r="W4" i="33"/>
  <c r="X17" i="33"/>
  <c r="X9" i="33"/>
  <c r="X11" i="33"/>
  <c r="X12" i="33"/>
  <c r="X13" i="33"/>
  <c r="X4" i="33"/>
  <c r="Y17" i="33"/>
  <c r="Y9" i="33"/>
  <c r="Y11" i="33"/>
  <c r="Y12" i="33"/>
  <c r="Y13" i="33"/>
  <c r="Y4" i="33"/>
  <c r="Z17" i="33"/>
  <c r="Z9" i="33"/>
  <c r="Z11" i="33"/>
  <c r="Z12" i="33"/>
  <c r="Z13" i="33"/>
  <c r="Z4" i="33"/>
  <c r="AA17" i="33"/>
  <c r="AA9" i="33"/>
  <c r="AA11" i="33"/>
  <c r="AA12" i="33"/>
  <c r="AA13" i="33"/>
  <c r="AA4" i="33"/>
  <c r="AB17" i="33"/>
  <c r="AB9" i="33"/>
  <c r="AB11" i="33"/>
  <c r="AB12" i="33"/>
  <c r="AB13" i="33"/>
  <c r="AB4" i="33"/>
  <c r="AC17" i="33"/>
  <c r="AC9" i="33"/>
  <c r="AC11" i="33"/>
  <c r="AC12" i="33"/>
  <c r="AC13" i="33"/>
  <c r="AC4" i="33"/>
  <c r="AD17" i="33"/>
  <c r="AD9" i="33"/>
  <c r="AD11" i="33"/>
  <c r="AD12" i="33"/>
  <c r="AD13" i="33"/>
  <c r="AD4" i="33"/>
  <c r="AE17" i="33"/>
  <c r="AE9" i="33"/>
  <c r="AE11" i="33"/>
  <c r="AE12" i="33"/>
  <c r="AE13" i="33"/>
  <c r="AE4" i="33"/>
  <c r="AF17" i="33"/>
  <c r="AF9" i="33"/>
  <c r="AF11" i="33"/>
  <c r="AF12" i="33"/>
  <c r="AF13" i="33"/>
  <c r="AF4" i="33"/>
  <c r="AG17" i="33"/>
  <c r="AG9" i="33"/>
  <c r="AG11" i="33"/>
  <c r="AG12" i="33"/>
  <c r="AG13" i="33"/>
  <c r="AG4" i="33"/>
  <c r="AH17" i="33"/>
  <c r="AH9" i="33"/>
  <c r="AH11" i="33"/>
  <c r="AH12" i="33"/>
  <c r="AH13" i="33"/>
  <c r="AH4" i="33"/>
  <c r="AI17" i="33"/>
  <c r="AI9" i="33"/>
  <c r="AI11" i="33"/>
  <c r="AI12" i="33"/>
  <c r="AI13" i="33"/>
  <c r="AI4" i="33"/>
  <c r="AJ17" i="33"/>
  <c r="AJ9" i="33"/>
  <c r="AJ11" i="33"/>
  <c r="AJ12" i="33"/>
  <c r="AJ13" i="33"/>
  <c r="AJ4" i="33"/>
  <c r="AK17" i="33"/>
  <c r="AK9" i="33"/>
  <c r="AK11" i="33"/>
  <c r="AK12" i="33"/>
  <c r="AK13" i="33"/>
  <c r="AK4" i="33"/>
  <c r="AL17" i="33"/>
  <c r="AL9" i="33"/>
  <c r="AL11" i="33"/>
  <c r="AL12" i="33"/>
  <c r="AL13" i="33"/>
  <c r="AL4" i="33"/>
  <c r="AM17" i="33"/>
  <c r="AM9" i="33"/>
  <c r="AM11" i="33"/>
  <c r="AM12" i="33"/>
  <c r="AM13" i="33"/>
  <c r="AM4" i="33"/>
  <c r="AN17" i="33"/>
  <c r="AN9" i="33"/>
  <c r="AN11" i="33"/>
  <c r="AN12" i="33"/>
  <c r="AN13" i="33"/>
  <c r="AN4" i="33"/>
  <c r="AO17" i="33"/>
  <c r="AO9" i="33"/>
  <c r="AO11" i="33"/>
  <c r="AO12" i="33"/>
  <c r="AO13" i="33"/>
  <c r="AO4" i="33"/>
  <c r="AP17" i="33"/>
  <c r="AP9" i="33"/>
  <c r="AP11" i="33"/>
  <c r="AP12" i="33"/>
  <c r="AP13" i="33"/>
  <c r="AP4" i="33"/>
  <c r="AQ17" i="33"/>
  <c r="AQ9" i="33"/>
  <c r="AQ11" i="33"/>
  <c r="AQ12" i="33"/>
  <c r="AQ13" i="33"/>
  <c r="AQ4" i="33"/>
  <c r="AR17" i="33"/>
  <c r="AR9" i="33"/>
  <c r="AR11" i="33"/>
  <c r="AR12" i="33"/>
  <c r="AR13" i="33"/>
  <c r="AR4" i="33"/>
  <c r="AS17" i="33"/>
  <c r="AS9" i="33"/>
  <c r="AS11" i="33"/>
  <c r="AS12" i="33"/>
  <c r="AS13" i="33"/>
  <c r="AS4" i="33"/>
  <c r="AT17" i="33"/>
  <c r="AT9" i="33"/>
  <c r="AT11" i="33"/>
  <c r="AT12" i="33"/>
  <c r="AT13" i="33"/>
  <c r="AT4" i="33"/>
  <c r="AU17" i="33"/>
  <c r="AU9" i="33"/>
  <c r="AU11" i="33"/>
  <c r="AU12" i="33"/>
  <c r="AU13" i="33"/>
  <c r="AU4" i="33"/>
  <c r="AV17" i="33"/>
  <c r="AV9" i="33"/>
  <c r="AV11" i="33"/>
  <c r="AV12" i="33"/>
  <c r="AV13" i="33"/>
  <c r="AV4" i="33"/>
  <c r="AW17" i="33"/>
  <c r="AW9" i="33"/>
  <c r="AW11" i="33"/>
  <c r="AW12" i="33"/>
  <c r="AW13" i="33"/>
  <c r="AW4" i="33"/>
  <c r="AX17" i="33"/>
  <c r="AX9" i="33"/>
  <c r="AX11" i="33"/>
  <c r="AX12" i="33"/>
  <c r="AX13" i="33"/>
  <c r="AX4" i="33"/>
  <c r="AY17" i="33"/>
  <c r="AY9" i="33"/>
  <c r="AY11" i="33"/>
  <c r="AY12" i="33"/>
  <c r="AY13" i="33"/>
  <c r="AY4" i="33"/>
  <c r="AZ17" i="33"/>
  <c r="AZ9" i="33"/>
  <c r="AZ11" i="33"/>
  <c r="AZ12" i="33"/>
  <c r="AZ13" i="33"/>
  <c r="AZ4" i="33"/>
  <c r="BA17" i="33"/>
  <c r="BA9" i="33"/>
  <c r="BA11" i="33"/>
  <c r="BA12" i="33"/>
  <c r="BA13" i="33"/>
  <c r="BA4" i="33"/>
  <c r="C4" i="33"/>
  <c r="C20" i="44"/>
  <c r="D22" i="48"/>
  <c r="D15" i="39"/>
  <c r="D13" i="39"/>
  <c r="D14" i="39"/>
  <c r="D4" i="39"/>
  <c r="E15" i="39"/>
  <c r="E13" i="39"/>
  <c r="E14" i="39"/>
  <c r="E4" i="39"/>
  <c r="F15" i="39"/>
  <c r="F13" i="39"/>
  <c r="F14" i="39"/>
  <c r="F4" i="39"/>
  <c r="G15" i="39"/>
  <c r="G13" i="39"/>
  <c r="G14" i="39"/>
  <c r="G4" i="39"/>
  <c r="H15" i="39"/>
  <c r="H13" i="39"/>
  <c r="H14" i="39"/>
  <c r="H4" i="39"/>
  <c r="I15" i="39"/>
  <c r="I13" i="39"/>
  <c r="I14" i="39"/>
  <c r="I4" i="39"/>
  <c r="J15" i="39"/>
  <c r="J13" i="39"/>
  <c r="J14" i="39"/>
  <c r="J4" i="39"/>
  <c r="K15" i="39"/>
  <c r="K13" i="39"/>
  <c r="K14" i="39"/>
  <c r="K4" i="39"/>
  <c r="L15" i="39"/>
  <c r="L13" i="39"/>
  <c r="L14" i="39"/>
  <c r="L4" i="39"/>
  <c r="M15" i="39"/>
  <c r="M13" i="39"/>
  <c r="M14" i="39"/>
  <c r="M4" i="39"/>
  <c r="N15" i="39"/>
  <c r="N13" i="39"/>
  <c r="N14" i="39"/>
  <c r="N4" i="39"/>
  <c r="O15" i="39"/>
  <c r="O13" i="39"/>
  <c r="O14" i="39"/>
  <c r="O4" i="39"/>
  <c r="P15" i="39"/>
  <c r="P13" i="39"/>
  <c r="P14" i="39"/>
  <c r="P4" i="39"/>
  <c r="Q15" i="39"/>
  <c r="Q13" i="39"/>
  <c r="Q14" i="39"/>
  <c r="Q4" i="39"/>
  <c r="R15" i="39"/>
  <c r="R13" i="39"/>
  <c r="R14" i="39"/>
  <c r="R4" i="39"/>
  <c r="S15" i="39"/>
  <c r="S13" i="39"/>
  <c r="S14" i="39"/>
  <c r="S4" i="39"/>
  <c r="T15" i="39"/>
  <c r="T13" i="39"/>
  <c r="T14" i="39"/>
  <c r="T4" i="39"/>
  <c r="U15" i="39"/>
  <c r="U13" i="39"/>
  <c r="U14" i="39"/>
  <c r="U4" i="39"/>
  <c r="V15" i="39"/>
  <c r="V13" i="39"/>
  <c r="V14" i="39"/>
  <c r="V4" i="39"/>
  <c r="W15" i="39"/>
  <c r="W13" i="39"/>
  <c r="W14" i="39"/>
  <c r="W4" i="39"/>
  <c r="X15" i="39"/>
  <c r="X13" i="39"/>
  <c r="X14" i="39"/>
  <c r="X4" i="39"/>
  <c r="Y15" i="39"/>
  <c r="Y13" i="39"/>
  <c r="Y14" i="39"/>
  <c r="Y4" i="39"/>
  <c r="Z15" i="39"/>
  <c r="Z13" i="39"/>
  <c r="Z14" i="39"/>
  <c r="Z4" i="39"/>
  <c r="AA15" i="39"/>
  <c r="AA13" i="39"/>
  <c r="AA14" i="39"/>
  <c r="AA4" i="39"/>
  <c r="AB15" i="39"/>
  <c r="AB13" i="39"/>
  <c r="AB14" i="39"/>
  <c r="AB4" i="39"/>
  <c r="AC15" i="39"/>
  <c r="AC13" i="39"/>
  <c r="AC14" i="39"/>
  <c r="AC4" i="39"/>
  <c r="AD15" i="39"/>
  <c r="AD13" i="39"/>
  <c r="AD14" i="39"/>
  <c r="AD4" i="39"/>
  <c r="AE15" i="39"/>
  <c r="AE13" i="39"/>
  <c r="AE14" i="39"/>
  <c r="AE4" i="39"/>
  <c r="AF15" i="39"/>
  <c r="AF13" i="39"/>
  <c r="AF14" i="39"/>
  <c r="AF4" i="39"/>
  <c r="AG15" i="39"/>
  <c r="AG13" i="39"/>
  <c r="AG14" i="39"/>
  <c r="AG4" i="39"/>
  <c r="AH15" i="39"/>
  <c r="AH13" i="39"/>
  <c r="AH14" i="39"/>
  <c r="AH4" i="39"/>
  <c r="AI15" i="39"/>
  <c r="AI13" i="39"/>
  <c r="AI14" i="39"/>
  <c r="AI4" i="39"/>
  <c r="AJ15" i="39"/>
  <c r="AJ13" i="39"/>
  <c r="AJ14" i="39"/>
  <c r="AJ4" i="39"/>
  <c r="AK15" i="39"/>
  <c r="AK13" i="39"/>
  <c r="AK14" i="39"/>
  <c r="AK4" i="39"/>
  <c r="AL15" i="39"/>
  <c r="AL13" i="39"/>
  <c r="AL14" i="39"/>
  <c r="AL4" i="39"/>
  <c r="AM15" i="39"/>
  <c r="AM13" i="39"/>
  <c r="AM14" i="39"/>
  <c r="AM4" i="39"/>
  <c r="AN15" i="39"/>
  <c r="AN13" i="39"/>
  <c r="AN14" i="39"/>
  <c r="AN4" i="39"/>
  <c r="AO15" i="39"/>
  <c r="AO13" i="39"/>
  <c r="AO14" i="39"/>
  <c r="AO4" i="39"/>
  <c r="AP15" i="39"/>
  <c r="AP13" i="39"/>
  <c r="AP14" i="39"/>
  <c r="AP4" i="39"/>
  <c r="AQ15" i="39"/>
  <c r="AQ13" i="39"/>
  <c r="AQ14" i="39"/>
  <c r="AQ4" i="39"/>
  <c r="AR15" i="39"/>
  <c r="AR13" i="39"/>
  <c r="AR14" i="39"/>
  <c r="AR4" i="39"/>
  <c r="AS15" i="39"/>
  <c r="AS13" i="39"/>
  <c r="AS14" i="39"/>
  <c r="AS4" i="39"/>
  <c r="AT15" i="39"/>
  <c r="AT13" i="39"/>
  <c r="AT14" i="39"/>
  <c r="AT4" i="39"/>
  <c r="AU15" i="39"/>
  <c r="AU13" i="39"/>
  <c r="AU14" i="39"/>
  <c r="AU4" i="39"/>
  <c r="AV15" i="39"/>
  <c r="AV13" i="39"/>
  <c r="AV14" i="39"/>
  <c r="AV4" i="39"/>
  <c r="AW15" i="39"/>
  <c r="AW13" i="39"/>
  <c r="AW14" i="39"/>
  <c r="AW4" i="39"/>
  <c r="AX15" i="39"/>
  <c r="AX13" i="39"/>
  <c r="AX14" i="39"/>
  <c r="AX4" i="39"/>
  <c r="AY15" i="39"/>
  <c r="AY13" i="39"/>
  <c r="AY14" i="39"/>
  <c r="AY4" i="39"/>
  <c r="AZ15" i="39"/>
  <c r="AZ13" i="39"/>
  <c r="AZ14" i="39"/>
  <c r="AZ4" i="39"/>
  <c r="BA15" i="39"/>
  <c r="BA13" i="39"/>
  <c r="BA14" i="39"/>
  <c r="BA4" i="39"/>
  <c r="C4" i="39"/>
  <c r="C24" i="44"/>
  <c r="D26" i="48"/>
  <c r="D11" i="34"/>
  <c r="D8" i="34"/>
  <c r="D7" i="34"/>
  <c r="D9" i="34"/>
  <c r="D10" i="34"/>
  <c r="D4" i="34"/>
  <c r="E11" i="34"/>
  <c r="E8" i="34"/>
  <c r="E7" i="34"/>
  <c r="E9" i="34"/>
  <c r="E10" i="34"/>
  <c r="E4" i="34"/>
  <c r="F11" i="34"/>
  <c r="F8" i="34"/>
  <c r="F7" i="34"/>
  <c r="F9" i="34"/>
  <c r="F10" i="34"/>
  <c r="F4" i="34"/>
  <c r="G11" i="34"/>
  <c r="G8" i="34"/>
  <c r="G7" i="34"/>
  <c r="G9" i="34"/>
  <c r="G10" i="34"/>
  <c r="G4" i="34"/>
  <c r="H11" i="34"/>
  <c r="H8" i="34"/>
  <c r="H7" i="34"/>
  <c r="H9" i="34"/>
  <c r="H10" i="34"/>
  <c r="H4" i="34"/>
  <c r="I11" i="34"/>
  <c r="I8" i="34"/>
  <c r="I7" i="34"/>
  <c r="I9" i="34"/>
  <c r="I10" i="34"/>
  <c r="I4" i="34"/>
  <c r="J11" i="34"/>
  <c r="J8" i="34"/>
  <c r="J7" i="34"/>
  <c r="J9" i="34"/>
  <c r="J10" i="34"/>
  <c r="J4" i="34"/>
  <c r="K11" i="34"/>
  <c r="K8" i="34"/>
  <c r="K7" i="34"/>
  <c r="K9" i="34"/>
  <c r="K10" i="34"/>
  <c r="K4" i="34"/>
  <c r="L11" i="34"/>
  <c r="L8" i="34"/>
  <c r="L7" i="34"/>
  <c r="L9" i="34"/>
  <c r="L10" i="34"/>
  <c r="L4" i="34"/>
  <c r="M11" i="34"/>
  <c r="M8" i="34"/>
  <c r="M7" i="34"/>
  <c r="M9" i="34"/>
  <c r="M10" i="34"/>
  <c r="M4" i="34"/>
  <c r="N11" i="34"/>
  <c r="N8" i="34"/>
  <c r="N7" i="34"/>
  <c r="N9" i="34"/>
  <c r="N10" i="34"/>
  <c r="N4" i="34"/>
  <c r="O11" i="34"/>
  <c r="O8" i="34"/>
  <c r="O7" i="34"/>
  <c r="O9" i="34"/>
  <c r="O10" i="34"/>
  <c r="O4" i="34"/>
  <c r="P11" i="34"/>
  <c r="P8" i="34"/>
  <c r="P7" i="34"/>
  <c r="P9" i="34"/>
  <c r="P10" i="34"/>
  <c r="P4" i="34"/>
  <c r="Q11" i="34"/>
  <c r="Q8" i="34"/>
  <c r="Q7" i="34"/>
  <c r="Q9" i="34"/>
  <c r="Q10" i="34"/>
  <c r="Q4" i="34"/>
  <c r="R11" i="34"/>
  <c r="R8" i="34"/>
  <c r="R7" i="34"/>
  <c r="R9" i="34"/>
  <c r="R10" i="34"/>
  <c r="R4" i="34"/>
  <c r="S11" i="34"/>
  <c r="S8" i="34"/>
  <c r="S7" i="34"/>
  <c r="S9" i="34"/>
  <c r="S10" i="34"/>
  <c r="S4" i="34"/>
  <c r="T11" i="34"/>
  <c r="T8" i="34"/>
  <c r="T7" i="34"/>
  <c r="T9" i="34"/>
  <c r="T10" i="34"/>
  <c r="T4" i="34"/>
  <c r="U11" i="34"/>
  <c r="U8" i="34"/>
  <c r="U7" i="34"/>
  <c r="U9" i="34"/>
  <c r="U10" i="34"/>
  <c r="U4" i="34"/>
  <c r="V11" i="34"/>
  <c r="V8" i="34"/>
  <c r="V7" i="34"/>
  <c r="V9" i="34"/>
  <c r="V10" i="34"/>
  <c r="V4" i="34"/>
  <c r="W11" i="34"/>
  <c r="W8" i="34"/>
  <c r="W7" i="34"/>
  <c r="W9" i="34"/>
  <c r="W10" i="34"/>
  <c r="W4" i="34"/>
  <c r="X11" i="34"/>
  <c r="X8" i="34"/>
  <c r="X7" i="34"/>
  <c r="X9" i="34"/>
  <c r="X10" i="34"/>
  <c r="X4" i="34"/>
  <c r="Y11" i="34"/>
  <c r="Y8" i="34"/>
  <c r="Y7" i="34"/>
  <c r="Y9" i="34"/>
  <c r="Y10" i="34"/>
  <c r="Y4" i="34"/>
  <c r="Z11" i="34"/>
  <c r="Z8" i="34"/>
  <c r="Z7" i="34"/>
  <c r="Z9" i="34"/>
  <c r="Z10" i="34"/>
  <c r="Z4" i="34"/>
  <c r="AA11" i="34"/>
  <c r="AA8" i="34"/>
  <c r="AA7" i="34"/>
  <c r="AA9" i="34"/>
  <c r="AA10" i="34"/>
  <c r="AA4" i="34"/>
  <c r="AB11" i="34"/>
  <c r="AB8" i="34"/>
  <c r="AB7" i="34"/>
  <c r="AB9" i="34"/>
  <c r="AB10" i="34"/>
  <c r="AB4" i="34"/>
  <c r="AC11" i="34"/>
  <c r="AC8" i="34"/>
  <c r="AC7" i="34"/>
  <c r="AC9" i="34"/>
  <c r="AC10" i="34"/>
  <c r="AC4" i="34"/>
  <c r="AD11" i="34"/>
  <c r="AD8" i="34"/>
  <c r="AD7" i="34"/>
  <c r="AD9" i="34"/>
  <c r="AD10" i="34"/>
  <c r="AD4" i="34"/>
  <c r="AE11" i="34"/>
  <c r="AE8" i="34"/>
  <c r="AE7" i="34"/>
  <c r="AE9" i="34"/>
  <c r="AE10" i="34"/>
  <c r="AE4" i="34"/>
  <c r="AF11" i="34"/>
  <c r="AF8" i="34"/>
  <c r="AF7" i="34"/>
  <c r="AF9" i="34"/>
  <c r="AF10" i="34"/>
  <c r="AF4" i="34"/>
  <c r="AG11" i="34"/>
  <c r="AG8" i="34"/>
  <c r="AG7" i="34"/>
  <c r="AG9" i="34"/>
  <c r="AG10" i="34"/>
  <c r="AG4" i="34"/>
  <c r="AH11" i="34"/>
  <c r="AH8" i="34"/>
  <c r="AH7" i="34"/>
  <c r="AH9" i="34"/>
  <c r="AH10" i="34"/>
  <c r="AH4" i="34"/>
  <c r="AI11" i="34"/>
  <c r="AI8" i="34"/>
  <c r="AI7" i="34"/>
  <c r="AI9" i="34"/>
  <c r="AI10" i="34"/>
  <c r="AI4" i="34"/>
  <c r="AJ11" i="34"/>
  <c r="AJ8" i="34"/>
  <c r="AJ7" i="34"/>
  <c r="AJ9" i="34"/>
  <c r="AJ10" i="34"/>
  <c r="AJ4" i="34"/>
  <c r="AK11" i="34"/>
  <c r="AK8" i="34"/>
  <c r="AK7" i="34"/>
  <c r="AK9" i="34"/>
  <c r="AK10" i="34"/>
  <c r="AK4" i="34"/>
  <c r="AL11" i="34"/>
  <c r="AL8" i="34"/>
  <c r="AL7" i="34"/>
  <c r="AL9" i="34"/>
  <c r="AL10" i="34"/>
  <c r="AL4" i="34"/>
  <c r="AM11" i="34"/>
  <c r="AM8" i="34"/>
  <c r="AM7" i="34"/>
  <c r="AM9" i="34"/>
  <c r="AM10" i="34"/>
  <c r="AM4" i="34"/>
  <c r="AN11" i="34"/>
  <c r="AN8" i="34"/>
  <c r="AN7" i="34"/>
  <c r="AN9" i="34"/>
  <c r="AN10" i="34"/>
  <c r="AN4" i="34"/>
  <c r="AO11" i="34"/>
  <c r="AO8" i="34"/>
  <c r="AO7" i="34"/>
  <c r="AO9" i="34"/>
  <c r="AO10" i="34"/>
  <c r="AO4" i="34"/>
  <c r="AP11" i="34"/>
  <c r="AP8" i="34"/>
  <c r="AP7" i="34"/>
  <c r="AP9" i="34"/>
  <c r="AP10" i="34"/>
  <c r="AP4" i="34"/>
  <c r="AQ11" i="34"/>
  <c r="AQ8" i="34"/>
  <c r="AQ7" i="34"/>
  <c r="AQ9" i="34"/>
  <c r="AQ10" i="34"/>
  <c r="AQ4" i="34"/>
  <c r="AR11" i="34"/>
  <c r="AR8" i="34"/>
  <c r="AR7" i="34"/>
  <c r="AR9" i="34"/>
  <c r="AR10" i="34"/>
  <c r="AR4" i="34"/>
  <c r="AS11" i="34"/>
  <c r="AS8" i="34"/>
  <c r="AS7" i="34"/>
  <c r="AS9" i="34"/>
  <c r="AS10" i="34"/>
  <c r="AS4" i="34"/>
  <c r="AT11" i="34"/>
  <c r="AT8" i="34"/>
  <c r="AT7" i="34"/>
  <c r="AT9" i="34"/>
  <c r="AT10" i="34"/>
  <c r="AT4" i="34"/>
  <c r="AU11" i="34"/>
  <c r="AU8" i="34"/>
  <c r="AU7" i="34"/>
  <c r="AU9" i="34"/>
  <c r="AU10" i="34"/>
  <c r="AU4" i="34"/>
  <c r="AV11" i="34"/>
  <c r="AV8" i="34"/>
  <c r="AV7" i="34"/>
  <c r="AV9" i="34"/>
  <c r="AV10" i="34"/>
  <c r="AV4" i="34"/>
  <c r="AW11" i="34"/>
  <c r="AW8" i="34"/>
  <c r="AW7" i="34"/>
  <c r="AW9" i="34"/>
  <c r="AW10" i="34"/>
  <c r="AW4" i="34"/>
  <c r="AX11" i="34"/>
  <c r="AX8" i="34"/>
  <c r="AX7" i="34"/>
  <c r="AX9" i="34"/>
  <c r="AX10" i="34"/>
  <c r="AX4" i="34"/>
  <c r="AY11" i="34"/>
  <c r="AY8" i="34"/>
  <c r="AY7" i="34"/>
  <c r="AY9" i="34"/>
  <c r="AY10" i="34"/>
  <c r="AY4" i="34"/>
  <c r="AZ11" i="34"/>
  <c r="AZ8" i="34"/>
  <c r="AZ7" i="34"/>
  <c r="AZ9" i="34"/>
  <c r="AZ10" i="34"/>
  <c r="AZ4" i="34"/>
  <c r="BA11" i="34"/>
  <c r="BA8" i="34"/>
  <c r="BA7" i="34"/>
  <c r="BA9" i="34"/>
  <c r="BA10" i="34"/>
  <c r="BA4" i="34"/>
  <c r="C4" i="34"/>
  <c r="C25" i="44"/>
  <c r="D27" i="48"/>
  <c r="D16" i="18"/>
  <c r="D15" i="18"/>
  <c r="D17" i="18"/>
  <c r="D10" i="18"/>
  <c r="D12" i="18"/>
  <c r="D14" i="18"/>
  <c r="D4" i="18"/>
  <c r="E16" i="18"/>
  <c r="E15" i="18"/>
  <c r="E17" i="18"/>
  <c r="E10" i="18"/>
  <c r="E12" i="18"/>
  <c r="E14" i="18"/>
  <c r="E4" i="18"/>
  <c r="F16" i="18"/>
  <c r="F15" i="18"/>
  <c r="F17" i="18"/>
  <c r="F10" i="18"/>
  <c r="F12" i="18"/>
  <c r="F14" i="18"/>
  <c r="F4" i="18"/>
  <c r="G16" i="18"/>
  <c r="G15" i="18"/>
  <c r="G17" i="18"/>
  <c r="G10" i="18"/>
  <c r="G12" i="18"/>
  <c r="G14" i="18"/>
  <c r="G4" i="18"/>
  <c r="H16" i="18"/>
  <c r="H15" i="18"/>
  <c r="H17" i="18"/>
  <c r="H10" i="18"/>
  <c r="H12" i="18"/>
  <c r="H14" i="18"/>
  <c r="H4" i="18"/>
  <c r="I16" i="18"/>
  <c r="I15" i="18"/>
  <c r="I17" i="18"/>
  <c r="I10" i="18"/>
  <c r="I12" i="18"/>
  <c r="I14" i="18"/>
  <c r="I4" i="18"/>
  <c r="J16" i="18"/>
  <c r="J15" i="18"/>
  <c r="J17" i="18"/>
  <c r="J10" i="18"/>
  <c r="J12" i="18"/>
  <c r="J14" i="18"/>
  <c r="J4" i="18"/>
  <c r="K16" i="18"/>
  <c r="K15" i="18"/>
  <c r="K17" i="18"/>
  <c r="K10" i="18"/>
  <c r="K12" i="18"/>
  <c r="K14" i="18"/>
  <c r="K4" i="18"/>
  <c r="L16" i="18"/>
  <c r="L15" i="18"/>
  <c r="L17" i="18"/>
  <c r="L10" i="18"/>
  <c r="L12" i="18"/>
  <c r="L14" i="18"/>
  <c r="L4" i="18"/>
  <c r="M16" i="18"/>
  <c r="M15" i="18"/>
  <c r="M17" i="18"/>
  <c r="M10" i="18"/>
  <c r="M12" i="18"/>
  <c r="M14" i="18"/>
  <c r="M4" i="18"/>
  <c r="N16" i="18"/>
  <c r="N15" i="18"/>
  <c r="N17" i="18"/>
  <c r="N10" i="18"/>
  <c r="N12" i="18"/>
  <c r="N14" i="18"/>
  <c r="N4" i="18"/>
  <c r="O16" i="18"/>
  <c r="O15" i="18"/>
  <c r="O17" i="18"/>
  <c r="O10" i="18"/>
  <c r="O12" i="18"/>
  <c r="O14" i="18"/>
  <c r="O4" i="18"/>
  <c r="P16" i="18"/>
  <c r="P15" i="18"/>
  <c r="P17" i="18"/>
  <c r="P10" i="18"/>
  <c r="P12" i="18"/>
  <c r="P14" i="18"/>
  <c r="P4" i="18"/>
  <c r="Q16" i="18"/>
  <c r="Q15" i="18"/>
  <c r="Q17" i="18"/>
  <c r="Q10" i="18"/>
  <c r="Q12" i="18"/>
  <c r="Q14" i="18"/>
  <c r="Q4" i="18"/>
  <c r="R16" i="18"/>
  <c r="R15" i="18"/>
  <c r="R17" i="18"/>
  <c r="R10" i="18"/>
  <c r="R12" i="18"/>
  <c r="R14" i="18"/>
  <c r="R4" i="18"/>
  <c r="S16" i="18"/>
  <c r="S15" i="18"/>
  <c r="S17" i="18"/>
  <c r="S10" i="18"/>
  <c r="S12" i="18"/>
  <c r="S14" i="18"/>
  <c r="S4" i="18"/>
  <c r="T16" i="18"/>
  <c r="T15" i="18"/>
  <c r="T17" i="18"/>
  <c r="T10" i="18"/>
  <c r="T12" i="18"/>
  <c r="T14" i="18"/>
  <c r="T4" i="18"/>
  <c r="U16" i="18"/>
  <c r="U15" i="18"/>
  <c r="U17" i="18"/>
  <c r="U10" i="18"/>
  <c r="U12" i="18"/>
  <c r="U14" i="18"/>
  <c r="U4" i="18"/>
  <c r="V16" i="18"/>
  <c r="V15" i="18"/>
  <c r="V17" i="18"/>
  <c r="V10" i="18"/>
  <c r="V12" i="18"/>
  <c r="V14" i="18"/>
  <c r="V4" i="18"/>
  <c r="W16" i="18"/>
  <c r="W15" i="18"/>
  <c r="W17" i="18"/>
  <c r="W10" i="18"/>
  <c r="W12" i="18"/>
  <c r="W14" i="18"/>
  <c r="W4" i="18"/>
  <c r="X16" i="18"/>
  <c r="X15" i="18"/>
  <c r="X17" i="18"/>
  <c r="X10" i="18"/>
  <c r="X12" i="18"/>
  <c r="X14" i="18"/>
  <c r="X4" i="18"/>
  <c r="Y16" i="18"/>
  <c r="Y15" i="18"/>
  <c r="Y17" i="18"/>
  <c r="Y10" i="18"/>
  <c r="Y12" i="18"/>
  <c r="Y14" i="18"/>
  <c r="Y4" i="18"/>
  <c r="Z16" i="18"/>
  <c r="Z15" i="18"/>
  <c r="Z17" i="18"/>
  <c r="Z10" i="18"/>
  <c r="Z12" i="18"/>
  <c r="Z14" i="18"/>
  <c r="Z4" i="18"/>
  <c r="AA16" i="18"/>
  <c r="AA15" i="18"/>
  <c r="AA17" i="18"/>
  <c r="AA10" i="18"/>
  <c r="AA12" i="18"/>
  <c r="AA14" i="18"/>
  <c r="AA4" i="18"/>
  <c r="AB16" i="18"/>
  <c r="AB15" i="18"/>
  <c r="AB17" i="18"/>
  <c r="AB10" i="18"/>
  <c r="AB12" i="18"/>
  <c r="AB14" i="18"/>
  <c r="AB4" i="18"/>
  <c r="AC16" i="18"/>
  <c r="AC15" i="18"/>
  <c r="AC17" i="18"/>
  <c r="AC10" i="18"/>
  <c r="AC12" i="18"/>
  <c r="AC14" i="18"/>
  <c r="AC4" i="18"/>
  <c r="AD16" i="18"/>
  <c r="AD15" i="18"/>
  <c r="AD17" i="18"/>
  <c r="AD10" i="18"/>
  <c r="AD12" i="18"/>
  <c r="AD14" i="18"/>
  <c r="AD4" i="18"/>
  <c r="AE16" i="18"/>
  <c r="AE15" i="18"/>
  <c r="AE17" i="18"/>
  <c r="AE10" i="18"/>
  <c r="AE12" i="18"/>
  <c r="AE14" i="18"/>
  <c r="AE4" i="18"/>
  <c r="AF16" i="18"/>
  <c r="AF15" i="18"/>
  <c r="AF17" i="18"/>
  <c r="AF10" i="18"/>
  <c r="AF12" i="18"/>
  <c r="AF14" i="18"/>
  <c r="AF4" i="18"/>
  <c r="AG16" i="18"/>
  <c r="AG15" i="18"/>
  <c r="AG17" i="18"/>
  <c r="AG10" i="18"/>
  <c r="AG12" i="18"/>
  <c r="AG14" i="18"/>
  <c r="AG4" i="18"/>
  <c r="AH16" i="18"/>
  <c r="AH15" i="18"/>
  <c r="AH17" i="18"/>
  <c r="AH10" i="18"/>
  <c r="AH12" i="18"/>
  <c r="AH14" i="18"/>
  <c r="AH4" i="18"/>
  <c r="AI16" i="18"/>
  <c r="AI15" i="18"/>
  <c r="AI17" i="18"/>
  <c r="AI10" i="18"/>
  <c r="AI12" i="18"/>
  <c r="AI14" i="18"/>
  <c r="AI4" i="18"/>
  <c r="AJ16" i="18"/>
  <c r="AJ15" i="18"/>
  <c r="AJ17" i="18"/>
  <c r="AJ10" i="18"/>
  <c r="AJ12" i="18"/>
  <c r="AJ14" i="18"/>
  <c r="AJ4" i="18"/>
  <c r="AK16" i="18"/>
  <c r="AK15" i="18"/>
  <c r="AK17" i="18"/>
  <c r="AK10" i="18"/>
  <c r="AK12" i="18"/>
  <c r="AK14" i="18"/>
  <c r="AK4" i="18"/>
  <c r="AL16" i="18"/>
  <c r="AL15" i="18"/>
  <c r="AL17" i="18"/>
  <c r="AL10" i="18"/>
  <c r="AL12" i="18"/>
  <c r="AL14" i="18"/>
  <c r="AL4" i="18"/>
  <c r="AM16" i="18"/>
  <c r="AM15" i="18"/>
  <c r="AM17" i="18"/>
  <c r="AM10" i="18"/>
  <c r="AM12" i="18"/>
  <c r="AM14" i="18"/>
  <c r="AM4" i="18"/>
  <c r="AN16" i="18"/>
  <c r="AN15" i="18"/>
  <c r="AN17" i="18"/>
  <c r="AN10" i="18"/>
  <c r="AN12" i="18"/>
  <c r="AN14" i="18"/>
  <c r="AN4" i="18"/>
  <c r="AO16" i="18"/>
  <c r="AO15" i="18"/>
  <c r="AO17" i="18"/>
  <c r="AO10" i="18"/>
  <c r="AO12" i="18"/>
  <c r="AO14" i="18"/>
  <c r="AO4" i="18"/>
  <c r="AP16" i="18"/>
  <c r="AP15" i="18"/>
  <c r="AP17" i="18"/>
  <c r="AP10" i="18"/>
  <c r="AP12" i="18"/>
  <c r="AP14" i="18"/>
  <c r="AP4" i="18"/>
  <c r="AQ16" i="18"/>
  <c r="AQ15" i="18"/>
  <c r="AQ17" i="18"/>
  <c r="AQ10" i="18"/>
  <c r="AQ12" i="18"/>
  <c r="AQ14" i="18"/>
  <c r="AQ4" i="18"/>
  <c r="AR16" i="18"/>
  <c r="AR15" i="18"/>
  <c r="AR17" i="18"/>
  <c r="AR10" i="18"/>
  <c r="AR12" i="18"/>
  <c r="AR14" i="18"/>
  <c r="AR4" i="18"/>
  <c r="AS16" i="18"/>
  <c r="AS15" i="18"/>
  <c r="AS17" i="18"/>
  <c r="AS10" i="18"/>
  <c r="AS12" i="18"/>
  <c r="AS14" i="18"/>
  <c r="AS4" i="18"/>
  <c r="AT16" i="18"/>
  <c r="AT15" i="18"/>
  <c r="AT17" i="18"/>
  <c r="AT10" i="18"/>
  <c r="AT12" i="18"/>
  <c r="AT14" i="18"/>
  <c r="AT4" i="18"/>
  <c r="AU16" i="18"/>
  <c r="AU15" i="18"/>
  <c r="AU17" i="18"/>
  <c r="AU10" i="18"/>
  <c r="AU12" i="18"/>
  <c r="AU14" i="18"/>
  <c r="AU4" i="18"/>
  <c r="AV16" i="18"/>
  <c r="AV15" i="18"/>
  <c r="AV17" i="18"/>
  <c r="AV10" i="18"/>
  <c r="AV12" i="18"/>
  <c r="AV14" i="18"/>
  <c r="AV4" i="18"/>
  <c r="AW16" i="18"/>
  <c r="AW15" i="18"/>
  <c r="AW17" i="18"/>
  <c r="AW10" i="18"/>
  <c r="AW12" i="18"/>
  <c r="AW14" i="18"/>
  <c r="AW4" i="18"/>
  <c r="AX16" i="18"/>
  <c r="AX15" i="18"/>
  <c r="AX17" i="18"/>
  <c r="AX10" i="18"/>
  <c r="AX12" i="18"/>
  <c r="AX14" i="18"/>
  <c r="AX4" i="18"/>
  <c r="AY16" i="18"/>
  <c r="AY15" i="18"/>
  <c r="AY17" i="18"/>
  <c r="AY10" i="18"/>
  <c r="AY12" i="18"/>
  <c r="AY14" i="18"/>
  <c r="AY4" i="18"/>
  <c r="AZ16" i="18"/>
  <c r="AZ15" i="18"/>
  <c r="AZ17" i="18"/>
  <c r="AZ10" i="18"/>
  <c r="AZ12" i="18"/>
  <c r="AZ14" i="18"/>
  <c r="AZ4" i="18"/>
  <c r="BA16" i="18"/>
  <c r="BA15" i="18"/>
  <c r="BA17" i="18"/>
  <c r="BA10" i="18"/>
  <c r="BA12" i="18"/>
  <c r="BA14" i="18"/>
  <c r="BA4" i="18"/>
  <c r="C4" i="18"/>
  <c r="C28" i="44"/>
  <c r="D30" i="48"/>
  <c r="D7" i="48"/>
  <c r="D8" i="48"/>
  <c r="D9" i="48"/>
  <c r="D10" i="48"/>
  <c r="D12" i="48"/>
  <c r="D12" i="36"/>
  <c r="D9" i="36"/>
  <c r="D10" i="36"/>
  <c r="D11" i="36"/>
  <c r="C13" i="36"/>
  <c r="D4" i="36"/>
  <c r="E12" i="36"/>
  <c r="E9" i="36"/>
  <c r="E10" i="36"/>
  <c r="E11" i="36"/>
  <c r="E4" i="36"/>
  <c r="F12" i="36"/>
  <c r="F9" i="36"/>
  <c r="F10" i="36"/>
  <c r="F11" i="36"/>
  <c r="F4" i="36"/>
  <c r="G12" i="36"/>
  <c r="G9" i="36"/>
  <c r="G10" i="36"/>
  <c r="G11" i="36"/>
  <c r="G4" i="36"/>
  <c r="H12" i="36"/>
  <c r="H9" i="36"/>
  <c r="H10" i="36"/>
  <c r="H11" i="36"/>
  <c r="H4" i="36"/>
  <c r="I12" i="36"/>
  <c r="I9" i="36"/>
  <c r="I10" i="36"/>
  <c r="I11" i="36"/>
  <c r="I4" i="36"/>
  <c r="J12" i="36"/>
  <c r="J9" i="36"/>
  <c r="J10" i="36"/>
  <c r="J11" i="36"/>
  <c r="J4" i="36"/>
  <c r="K12" i="36"/>
  <c r="K9" i="36"/>
  <c r="K10" i="36"/>
  <c r="K11" i="36"/>
  <c r="K4" i="36"/>
  <c r="L12" i="36"/>
  <c r="L9" i="36"/>
  <c r="L10" i="36"/>
  <c r="L11" i="36"/>
  <c r="L4" i="36"/>
  <c r="M12" i="36"/>
  <c r="M9" i="36"/>
  <c r="M10" i="36"/>
  <c r="M11" i="36"/>
  <c r="M4" i="36"/>
  <c r="N12" i="36"/>
  <c r="N9" i="36"/>
  <c r="N10" i="36"/>
  <c r="N11" i="36"/>
  <c r="N4" i="36"/>
  <c r="O12" i="36"/>
  <c r="O9" i="36"/>
  <c r="O10" i="36"/>
  <c r="O11" i="36"/>
  <c r="O4" i="36"/>
  <c r="P12" i="36"/>
  <c r="P9" i="36"/>
  <c r="P10" i="36"/>
  <c r="P11" i="36"/>
  <c r="P4" i="36"/>
  <c r="Q12" i="36"/>
  <c r="Q9" i="36"/>
  <c r="Q10" i="36"/>
  <c r="Q11" i="36"/>
  <c r="Q4" i="36"/>
  <c r="R12" i="36"/>
  <c r="R9" i="36"/>
  <c r="R10" i="36"/>
  <c r="R11" i="36"/>
  <c r="R4" i="36"/>
  <c r="S12" i="36"/>
  <c r="S9" i="36"/>
  <c r="S10" i="36"/>
  <c r="S11" i="36"/>
  <c r="S4" i="36"/>
  <c r="T12" i="36"/>
  <c r="T9" i="36"/>
  <c r="T10" i="36"/>
  <c r="T11" i="36"/>
  <c r="T4" i="36"/>
  <c r="U12" i="36"/>
  <c r="U9" i="36"/>
  <c r="U10" i="36"/>
  <c r="U11" i="36"/>
  <c r="U4" i="36"/>
  <c r="V12" i="36"/>
  <c r="V9" i="36"/>
  <c r="V10" i="36"/>
  <c r="V11" i="36"/>
  <c r="V4" i="36"/>
  <c r="W12" i="36"/>
  <c r="W9" i="36"/>
  <c r="W10" i="36"/>
  <c r="W11" i="36"/>
  <c r="W4" i="36"/>
  <c r="X12" i="36"/>
  <c r="X9" i="36"/>
  <c r="X10" i="36"/>
  <c r="X11" i="36"/>
  <c r="X4" i="36"/>
  <c r="Y12" i="36"/>
  <c r="Y9" i="36"/>
  <c r="Y10" i="36"/>
  <c r="Y11" i="36"/>
  <c r="Y4" i="36"/>
  <c r="Z12" i="36"/>
  <c r="Z9" i="36"/>
  <c r="Z10" i="36"/>
  <c r="Z11" i="36"/>
  <c r="Z4" i="36"/>
  <c r="AA12" i="36"/>
  <c r="AA9" i="36"/>
  <c r="AA10" i="36"/>
  <c r="AA11" i="36"/>
  <c r="AA4" i="36"/>
  <c r="AB12" i="36"/>
  <c r="AB9" i="36"/>
  <c r="AB10" i="36"/>
  <c r="AB11" i="36"/>
  <c r="AB4" i="36"/>
  <c r="AC12" i="36"/>
  <c r="AC9" i="36"/>
  <c r="AC10" i="36"/>
  <c r="AC11" i="36"/>
  <c r="AC4" i="36"/>
  <c r="AD12" i="36"/>
  <c r="AD9" i="36"/>
  <c r="AD10" i="36"/>
  <c r="AD11" i="36"/>
  <c r="AD4" i="36"/>
  <c r="AE12" i="36"/>
  <c r="AE9" i="36"/>
  <c r="AE10" i="36"/>
  <c r="AE11" i="36"/>
  <c r="AE4" i="36"/>
  <c r="AF12" i="36"/>
  <c r="AF9" i="36"/>
  <c r="AF10" i="36"/>
  <c r="AF11" i="36"/>
  <c r="AF4" i="36"/>
  <c r="AG12" i="36"/>
  <c r="AG9" i="36"/>
  <c r="AG10" i="36"/>
  <c r="AG11" i="36"/>
  <c r="AG4" i="36"/>
  <c r="AH12" i="36"/>
  <c r="AH9" i="36"/>
  <c r="AH10" i="36"/>
  <c r="AH11" i="36"/>
  <c r="AH4" i="36"/>
  <c r="AI12" i="36"/>
  <c r="AI9" i="36"/>
  <c r="AI10" i="36"/>
  <c r="AI11" i="36"/>
  <c r="AI4" i="36"/>
  <c r="AJ12" i="36"/>
  <c r="AJ9" i="36"/>
  <c r="AJ10" i="36"/>
  <c r="AJ11" i="36"/>
  <c r="AJ4" i="36"/>
  <c r="AK12" i="36"/>
  <c r="AK9" i="36"/>
  <c r="AK10" i="36"/>
  <c r="AK11" i="36"/>
  <c r="AK4" i="36"/>
  <c r="AL12" i="36"/>
  <c r="AL9" i="36"/>
  <c r="AL10" i="36"/>
  <c r="AL11" i="36"/>
  <c r="AL4" i="36"/>
  <c r="AM12" i="36"/>
  <c r="AM9" i="36"/>
  <c r="AM10" i="36"/>
  <c r="AM11" i="36"/>
  <c r="AM4" i="36"/>
  <c r="AN12" i="36"/>
  <c r="AN9" i="36"/>
  <c r="AN10" i="36"/>
  <c r="AN11" i="36"/>
  <c r="AN4" i="36"/>
  <c r="AO12" i="36"/>
  <c r="AO9" i="36"/>
  <c r="AO10" i="36"/>
  <c r="AO11" i="36"/>
  <c r="AO4" i="36"/>
  <c r="AP12" i="36"/>
  <c r="AP9" i="36"/>
  <c r="AP10" i="36"/>
  <c r="AP11" i="36"/>
  <c r="AP4" i="36"/>
  <c r="AQ12" i="36"/>
  <c r="AQ9" i="36"/>
  <c r="AQ10" i="36"/>
  <c r="AQ11" i="36"/>
  <c r="AQ4" i="36"/>
  <c r="AR12" i="36"/>
  <c r="AR9" i="36"/>
  <c r="AR10" i="36"/>
  <c r="AR11" i="36"/>
  <c r="AR4" i="36"/>
  <c r="AS12" i="36"/>
  <c r="AS9" i="36"/>
  <c r="AS10" i="36"/>
  <c r="AS11" i="36"/>
  <c r="AS4" i="36"/>
  <c r="AT12" i="36"/>
  <c r="AT9" i="36"/>
  <c r="AT10" i="36"/>
  <c r="AT11" i="36"/>
  <c r="AT4" i="36"/>
  <c r="AU12" i="36"/>
  <c r="AU9" i="36"/>
  <c r="AU10" i="36"/>
  <c r="AU11" i="36"/>
  <c r="AU4" i="36"/>
  <c r="AV12" i="36"/>
  <c r="AV9" i="36"/>
  <c r="AV10" i="36"/>
  <c r="AV11" i="36"/>
  <c r="AV4" i="36"/>
  <c r="AW12" i="36"/>
  <c r="AW9" i="36"/>
  <c r="AW10" i="36"/>
  <c r="AW11" i="36"/>
  <c r="AW4" i="36"/>
  <c r="AX12" i="36"/>
  <c r="AX9" i="36"/>
  <c r="AX10" i="36"/>
  <c r="AX11" i="36"/>
  <c r="AX4" i="36"/>
  <c r="AY12" i="36"/>
  <c r="AY9" i="36"/>
  <c r="AY10" i="36"/>
  <c r="AY11" i="36"/>
  <c r="AY4" i="36"/>
  <c r="AZ12" i="36"/>
  <c r="AZ9" i="36"/>
  <c r="AZ10" i="36"/>
  <c r="AZ11" i="36"/>
  <c r="AZ4" i="36"/>
  <c r="BA12" i="36"/>
  <c r="BA9" i="36"/>
  <c r="BA10" i="36"/>
  <c r="BA11" i="36"/>
  <c r="BA4" i="36"/>
  <c r="C4" i="36"/>
  <c r="C11" i="44"/>
  <c r="D13" i="48"/>
  <c r="D8" i="20"/>
  <c r="D10" i="20"/>
  <c r="C5" i="31"/>
  <c r="C6" i="31"/>
  <c r="D7" i="20"/>
  <c r="D9" i="20"/>
  <c r="C5" i="15"/>
  <c r="D6" i="20"/>
  <c r="D11" i="20"/>
  <c r="D12" i="20"/>
  <c r="D13" i="20"/>
  <c r="D4" i="20"/>
  <c r="E13" i="20"/>
  <c r="E4" i="20"/>
  <c r="F8" i="20"/>
  <c r="F10" i="20"/>
  <c r="F7" i="20"/>
  <c r="F9" i="20"/>
  <c r="F6" i="20"/>
  <c r="F11" i="20"/>
  <c r="F12" i="20"/>
  <c r="F13" i="20"/>
  <c r="F4" i="20"/>
  <c r="G8" i="20"/>
  <c r="G10" i="20"/>
  <c r="G7" i="20"/>
  <c r="G9" i="20"/>
  <c r="G6" i="20"/>
  <c r="G11" i="20"/>
  <c r="G12" i="20"/>
  <c r="G13" i="20"/>
  <c r="G4" i="20"/>
  <c r="H8" i="20"/>
  <c r="H10" i="20"/>
  <c r="H7" i="20"/>
  <c r="H9" i="20"/>
  <c r="H6" i="20"/>
  <c r="H11" i="20"/>
  <c r="H12" i="20"/>
  <c r="H13" i="20"/>
  <c r="H4" i="20"/>
  <c r="I8" i="20"/>
  <c r="I10" i="20"/>
  <c r="I7" i="20"/>
  <c r="I9" i="20"/>
  <c r="I6" i="20"/>
  <c r="I11" i="20"/>
  <c r="I12" i="20"/>
  <c r="I13" i="20"/>
  <c r="I4" i="20"/>
  <c r="J8" i="20"/>
  <c r="J10" i="20"/>
  <c r="J7" i="20"/>
  <c r="J9" i="20"/>
  <c r="J6" i="20"/>
  <c r="J11" i="20"/>
  <c r="J12" i="20"/>
  <c r="J13" i="20"/>
  <c r="J4" i="20"/>
  <c r="K8" i="20"/>
  <c r="K10" i="20"/>
  <c r="K7" i="20"/>
  <c r="K9" i="20"/>
  <c r="K6" i="20"/>
  <c r="K11" i="20"/>
  <c r="K12" i="20"/>
  <c r="K13" i="20"/>
  <c r="K4" i="20"/>
  <c r="L8" i="20"/>
  <c r="L10" i="20"/>
  <c r="L7" i="20"/>
  <c r="L9" i="20"/>
  <c r="L6" i="20"/>
  <c r="L11" i="20"/>
  <c r="L12" i="20"/>
  <c r="L13" i="20"/>
  <c r="L4" i="20"/>
  <c r="M8" i="20"/>
  <c r="M10" i="20"/>
  <c r="M7" i="20"/>
  <c r="M9" i="20"/>
  <c r="M6" i="20"/>
  <c r="M11" i="20"/>
  <c r="M12" i="20"/>
  <c r="M13" i="20"/>
  <c r="M4" i="20"/>
  <c r="N13" i="20"/>
  <c r="N4" i="20"/>
  <c r="O13" i="20"/>
  <c r="O4" i="20"/>
  <c r="P8" i="20"/>
  <c r="P10" i="20"/>
  <c r="P7" i="20"/>
  <c r="P9" i="20"/>
  <c r="P6" i="20"/>
  <c r="P11" i="20"/>
  <c r="P12" i="20"/>
  <c r="P13" i="20"/>
  <c r="P4" i="20"/>
  <c r="Q8" i="20"/>
  <c r="Q10" i="20"/>
  <c r="Q7" i="20"/>
  <c r="Q9" i="20"/>
  <c r="Q6" i="20"/>
  <c r="Q11" i="20"/>
  <c r="Q12" i="20"/>
  <c r="Q13" i="20"/>
  <c r="Q4" i="20"/>
  <c r="R13" i="20"/>
  <c r="R4" i="20"/>
  <c r="S8" i="20"/>
  <c r="S10" i="20"/>
  <c r="S7" i="20"/>
  <c r="S9" i="20"/>
  <c r="S6" i="20"/>
  <c r="S11" i="20"/>
  <c r="S12" i="20"/>
  <c r="S13" i="20"/>
  <c r="S4" i="20"/>
  <c r="T8" i="20"/>
  <c r="T10" i="20"/>
  <c r="T7" i="20"/>
  <c r="T9" i="20"/>
  <c r="T6" i="20"/>
  <c r="T11" i="20"/>
  <c r="T12" i="20"/>
  <c r="T13" i="20"/>
  <c r="T4" i="20"/>
  <c r="U8" i="20"/>
  <c r="U10" i="20"/>
  <c r="U7" i="20"/>
  <c r="U9" i="20"/>
  <c r="U6" i="20"/>
  <c r="U11" i="20"/>
  <c r="U12" i="20"/>
  <c r="U13" i="20"/>
  <c r="U4" i="20"/>
  <c r="V8" i="20"/>
  <c r="V10" i="20"/>
  <c r="V7" i="20"/>
  <c r="V9" i="20"/>
  <c r="V6" i="20"/>
  <c r="V11" i="20"/>
  <c r="V12" i="20"/>
  <c r="V13" i="20"/>
  <c r="V4" i="20"/>
  <c r="W8" i="20"/>
  <c r="W10" i="20"/>
  <c r="W7" i="20"/>
  <c r="W9" i="20"/>
  <c r="W6" i="20"/>
  <c r="W11" i="20"/>
  <c r="W12" i="20"/>
  <c r="W13" i="20"/>
  <c r="W4" i="20"/>
  <c r="X8" i="20"/>
  <c r="X10" i="20"/>
  <c r="X7" i="20"/>
  <c r="X9" i="20"/>
  <c r="X6" i="20"/>
  <c r="X11" i="20"/>
  <c r="X12" i="20"/>
  <c r="X13" i="20"/>
  <c r="X4" i="20"/>
  <c r="Y8" i="20"/>
  <c r="Y10" i="20"/>
  <c r="Y7" i="20"/>
  <c r="Y9" i="20"/>
  <c r="Y6" i="20"/>
  <c r="Y11" i="20"/>
  <c r="Y12" i="20"/>
  <c r="Y13" i="20"/>
  <c r="Y4" i="20"/>
  <c r="Z8" i="20"/>
  <c r="Z10" i="20"/>
  <c r="Z7" i="20"/>
  <c r="Z9" i="20"/>
  <c r="Z6" i="20"/>
  <c r="Z11" i="20"/>
  <c r="Z12" i="20"/>
  <c r="Z13" i="20"/>
  <c r="Z4" i="20"/>
  <c r="AA8" i="20"/>
  <c r="AA10" i="20"/>
  <c r="AA7" i="20"/>
  <c r="AA9" i="20"/>
  <c r="AA6" i="20"/>
  <c r="AA11" i="20"/>
  <c r="AA12" i="20"/>
  <c r="AA13" i="20"/>
  <c r="AA4" i="20"/>
  <c r="AB8" i="20"/>
  <c r="AB10" i="20"/>
  <c r="AB7" i="20"/>
  <c r="AB9" i="20"/>
  <c r="AB6" i="20"/>
  <c r="AB11" i="20"/>
  <c r="AB12" i="20"/>
  <c r="AB13" i="20"/>
  <c r="AB4" i="20"/>
  <c r="AC13" i="20"/>
  <c r="AC4" i="20"/>
  <c r="AD13" i="20"/>
  <c r="AD4" i="20"/>
  <c r="AE8" i="20"/>
  <c r="AE10" i="20"/>
  <c r="AE7" i="20"/>
  <c r="AE9" i="20"/>
  <c r="AE6" i="20"/>
  <c r="AE11" i="20"/>
  <c r="AE12" i="20"/>
  <c r="AE13" i="20"/>
  <c r="AE4" i="20"/>
  <c r="AF8" i="20"/>
  <c r="AF10" i="20"/>
  <c r="AF7" i="20"/>
  <c r="AF9" i="20"/>
  <c r="AF6" i="20"/>
  <c r="AF11" i="20"/>
  <c r="AF12" i="20"/>
  <c r="AF13" i="20"/>
  <c r="AF4" i="20"/>
  <c r="AG8" i="20"/>
  <c r="AG10" i="20"/>
  <c r="AG7" i="20"/>
  <c r="AG9" i="20"/>
  <c r="AG6" i="20"/>
  <c r="AG11" i="20"/>
  <c r="AG12" i="20"/>
  <c r="AG13" i="20"/>
  <c r="AG4" i="20"/>
  <c r="AH8" i="20"/>
  <c r="AH10" i="20"/>
  <c r="AH7" i="20"/>
  <c r="AH9" i="20"/>
  <c r="AH6" i="20"/>
  <c r="AH11" i="20"/>
  <c r="AH12" i="20"/>
  <c r="AH13" i="20"/>
  <c r="AH4" i="20"/>
  <c r="AI8" i="20"/>
  <c r="AI10" i="20"/>
  <c r="AI7" i="20"/>
  <c r="AI9" i="20"/>
  <c r="AI6" i="20"/>
  <c r="AI11" i="20"/>
  <c r="AI12" i="20"/>
  <c r="AI13" i="20"/>
  <c r="AI4" i="20"/>
  <c r="AJ8" i="20"/>
  <c r="AJ10" i="20"/>
  <c r="AJ7" i="20"/>
  <c r="AJ9" i="20"/>
  <c r="AJ6" i="20"/>
  <c r="AJ11" i="20"/>
  <c r="AJ12" i="20"/>
  <c r="AJ13" i="20"/>
  <c r="AJ4" i="20"/>
  <c r="AK13" i="20"/>
  <c r="AK4" i="20"/>
  <c r="AL8" i="20"/>
  <c r="AL10" i="20"/>
  <c r="AL7" i="20"/>
  <c r="AL9" i="20"/>
  <c r="AL6" i="20"/>
  <c r="AL11" i="20"/>
  <c r="AL12" i="20"/>
  <c r="AL13" i="20"/>
  <c r="AL4" i="20"/>
  <c r="AM8" i="20"/>
  <c r="AM10" i="20"/>
  <c r="AM7" i="20"/>
  <c r="AM9" i="20"/>
  <c r="AM6" i="20"/>
  <c r="AM11" i="20"/>
  <c r="AM12" i="20"/>
  <c r="AM13" i="20"/>
  <c r="AM4" i="20"/>
  <c r="AN8" i="20"/>
  <c r="AN10" i="20"/>
  <c r="AN7" i="20"/>
  <c r="AN9" i="20"/>
  <c r="AN6" i="20"/>
  <c r="AN11" i="20"/>
  <c r="AN12" i="20"/>
  <c r="AN13" i="20"/>
  <c r="AN4" i="20"/>
  <c r="AO8" i="20"/>
  <c r="AO10" i="20"/>
  <c r="AO7" i="20"/>
  <c r="AO9" i="20"/>
  <c r="AO6" i="20"/>
  <c r="AO11" i="20"/>
  <c r="AO12" i="20"/>
  <c r="AO13" i="20"/>
  <c r="AO4" i="20"/>
  <c r="AP8" i="20"/>
  <c r="AP10" i="20"/>
  <c r="AP7" i="20"/>
  <c r="AP9" i="20"/>
  <c r="AP6" i="20"/>
  <c r="AP11" i="20"/>
  <c r="AP12" i="20"/>
  <c r="AP13" i="20"/>
  <c r="AP4" i="20"/>
  <c r="AQ8" i="20"/>
  <c r="AQ10" i="20"/>
  <c r="AQ7" i="20"/>
  <c r="AQ9" i="20"/>
  <c r="AQ6" i="20"/>
  <c r="AQ11" i="20"/>
  <c r="AQ12" i="20"/>
  <c r="AQ13" i="20"/>
  <c r="AQ4" i="20"/>
  <c r="AR13" i="20"/>
  <c r="AR4" i="20"/>
  <c r="AS8" i="20"/>
  <c r="AS10" i="20"/>
  <c r="AS7" i="20"/>
  <c r="AS9" i="20"/>
  <c r="AS6" i="20"/>
  <c r="AS11" i="20"/>
  <c r="AS12" i="20"/>
  <c r="AS13" i="20"/>
  <c r="AS4" i="20"/>
  <c r="AT8" i="20"/>
  <c r="AT10" i="20"/>
  <c r="AT7" i="20"/>
  <c r="AT9" i="20"/>
  <c r="AT6" i="20"/>
  <c r="AT11" i="20"/>
  <c r="AT12" i="20"/>
  <c r="AT13" i="20"/>
  <c r="AT4" i="20"/>
  <c r="AU8" i="20"/>
  <c r="AU10" i="20"/>
  <c r="AU7" i="20"/>
  <c r="AU9" i="20"/>
  <c r="AU6" i="20"/>
  <c r="AU11" i="20"/>
  <c r="AU12" i="20"/>
  <c r="AU13" i="20"/>
  <c r="AU4" i="20"/>
  <c r="AV8" i="20"/>
  <c r="AV10" i="20"/>
  <c r="AV7" i="20"/>
  <c r="AV9" i="20"/>
  <c r="AV6" i="20"/>
  <c r="AV11" i="20"/>
  <c r="AV12" i="20"/>
  <c r="AV13" i="20"/>
  <c r="AV4" i="20"/>
  <c r="AW8" i="20"/>
  <c r="AW10" i="20"/>
  <c r="AW7" i="20"/>
  <c r="AW9" i="20"/>
  <c r="AW6" i="20"/>
  <c r="AW11" i="20"/>
  <c r="AW12" i="20"/>
  <c r="AW13" i="20"/>
  <c r="AW4" i="20"/>
  <c r="AX13" i="20"/>
  <c r="AX4" i="20"/>
  <c r="AY8" i="20"/>
  <c r="AY10" i="20"/>
  <c r="AY7" i="20"/>
  <c r="AY9" i="20"/>
  <c r="AY6" i="20"/>
  <c r="AY11" i="20"/>
  <c r="AY12" i="20"/>
  <c r="AY13" i="20"/>
  <c r="AY4" i="20"/>
  <c r="AZ8" i="20"/>
  <c r="AZ10" i="20"/>
  <c r="AZ7" i="20"/>
  <c r="AZ9" i="20"/>
  <c r="AZ6" i="20"/>
  <c r="AZ11" i="20"/>
  <c r="AZ12" i="20"/>
  <c r="AZ13" i="20"/>
  <c r="AZ4" i="20"/>
  <c r="BA8" i="20"/>
  <c r="BA10" i="20"/>
  <c r="BA7" i="20"/>
  <c r="BA9" i="20"/>
  <c r="BA6" i="20"/>
  <c r="BA11" i="20"/>
  <c r="BA12" i="20"/>
  <c r="BA13" i="20"/>
  <c r="BA4" i="20"/>
  <c r="C4" i="20"/>
  <c r="C12" i="44"/>
  <c r="D14" i="48"/>
  <c r="E6" i="21"/>
  <c r="D7" i="21"/>
  <c r="E4" i="21"/>
  <c r="F6" i="21"/>
  <c r="F4" i="21"/>
  <c r="G6" i="21"/>
  <c r="G4" i="21"/>
  <c r="H6" i="21"/>
  <c r="H4" i="21"/>
  <c r="I6" i="21"/>
  <c r="I4" i="21"/>
  <c r="J6" i="21"/>
  <c r="J4" i="21"/>
  <c r="K6" i="21"/>
  <c r="K4" i="21"/>
  <c r="L6" i="21"/>
  <c r="L4" i="21"/>
  <c r="M6" i="21"/>
  <c r="M4" i="21"/>
  <c r="N6" i="21"/>
  <c r="N4" i="21"/>
  <c r="O6" i="21"/>
  <c r="O4" i="21"/>
  <c r="P6" i="21"/>
  <c r="P4" i="21"/>
  <c r="Q6" i="21"/>
  <c r="Q4" i="21"/>
  <c r="R6" i="21"/>
  <c r="R4" i="21"/>
  <c r="S6" i="21"/>
  <c r="S4" i="21"/>
  <c r="T6" i="21"/>
  <c r="T4" i="21"/>
  <c r="U6" i="21"/>
  <c r="U4" i="21"/>
  <c r="V6" i="21"/>
  <c r="V4" i="21"/>
  <c r="W6" i="21"/>
  <c r="W4" i="21"/>
  <c r="X6" i="21"/>
  <c r="X4" i="21"/>
  <c r="Y6" i="21"/>
  <c r="Y4" i="21"/>
  <c r="Z6" i="21"/>
  <c r="Z4" i="21"/>
  <c r="AA6" i="21"/>
  <c r="AA4" i="21"/>
  <c r="AB6" i="21"/>
  <c r="AB4" i="21"/>
  <c r="AC6" i="21"/>
  <c r="AC4" i="21"/>
  <c r="AD6" i="21"/>
  <c r="AD4" i="21"/>
  <c r="AE6" i="21"/>
  <c r="AE4" i="21"/>
  <c r="AF6" i="21"/>
  <c r="AF4" i="21"/>
  <c r="AG6" i="21"/>
  <c r="AG4" i="21"/>
  <c r="AH6" i="21"/>
  <c r="AH4" i="21"/>
  <c r="AI6" i="21"/>
  <c r="AI4" i="21"/>
  <c r="AJ6" i="21"/>
  <c r="AJ4" i="21"/>
  <c r="AK6" i="21"/>
  <c r="AK4" i="21"/>
  <c r="AL6" i="21"/>
  <c r="AL4" i="21"/>
  <c r="AM6" i="21"/>
  <c r="AM4" i="21"/>
  <c r="AN6" i="21"/>
  <c r="AN4" i="21"/>
  <c r="AO6" i="21"/>
  <c r="AO4" i="21"/>
  <c r="AP6" i="21"/>
  <c r="AP4" i="21"/>
  <c r="AQ6" i="21"/>
  <c r="AQ4" i="21"/>
  <c r="AR6" i="21"/>
  <c r="AR4" i="21"/>
  <c r="AS6" i="21"/>
  <c r="AS4" i="21"/>
  <c r="AT6" i="21"/>
  <c r="AT4" i="21"/>
  <c r="AU6" i="21"/>
  <c r="AU4" i="21"/>
  <c r="AV6" i="21"/>
  <c r="AV4" i="21"/>
  <c r="AW6" i="21"/>
  <c r="AW4" i="21"/>
  <c r="AX6" i="21"/>
  <c r="AX4" i="21"/>
  <c r="AY6" i="21"/>
  <c r="AY4" i="21"/>
  <c r="AZ6" i="21"/>
  <c r="AZ4" i="21"/>
  <c r="BA6" i="21"/>
  <c r="BA4" i="21"/>
  <c r="BB6" i="21"/>
  <c r="BB4" i="21"/>
  <c r="D4" i="21"/>
  <c r="C13" i="44"/>
  <c r="D15" i="48"/>
  <c r="C9" i="22"/>
  <c r="D10" i="22"/>
  <c r="D11" i="22"/>
  <c r="D15" i="22"/>
  <c r="D6" i="22"/>
  <c r="D13" i="22"/>
  <c r="C12" i="22"/>
  <c r="D14" i="22"/>
  <c r="D8" i="22"/>
  <c r="D4" i="22"/>
  <c r="E10" i="22"/>
  <c r="E11" i="22"/>
  <c r="E15" i="22"/>
  <c r="E6" i="22"/>
  <c r="E13" i="22"/>
  <c r="E14" i="22"/>
  <c r="E8" i="22"/>
  <c r="E4" i="22"/>
  <c r="F10" i="22"/>
  <c r="F11" i="22"/>
  <c r="F15" i="22"/>
  <c r="F6" i="22"/>
  <c r="F13" i="22"/>
  <c r="F14" i="22"/>
  <c r="F8" i="22"/>
  <c r="F4" i="22"/>
  <c r="G10" i="22"/>
  <c r="G11" i="22"/>
  <c r="G15" i="22"/>
  <c r="G6" i="22"/>
  <c r="G8" i="22"/>
  <c r="G4" i="22"/>
  <c r="H10" i="22"/>
  <c r="H11" i="22"/>
  <c r="H15" i="22"/>
  <c r="H6" i="22"/>
  <c r="H8" i="22"/>
  <c r="H4" i="22"/>
  <c r="I10" i="22"/>
  <c r="I11" i="22"/>
  <c r="I15" i="22"/>
  <c r="I6" i="22"/>
  <c r="I8" i="22"/>
  <c r="I4" i="22"/>
  <c r="J10" i="22"/>
  <c r="J11" i="22"/>
  <c r="J15" i="22"/>
  <c r="J6" i="22"/>
  <c r="J8" i="22"/>
  <c r="J4" i="22"/>
  <c r="K10" i="22"/>
  <c r="K11" i="22"/>
  <c r="K15" i="22"/>
  <c r="K6" i="22"/>
  <c r="K8" i="22"/>
  <c r="K4" i="22"/>
  <c r="L10" i="22"/>
  <c r="L11" i="22"/>
  <c r="L15" i="22"/>
  <c r="L6" i="22"/>
  <c r="L8" i="22"/>
  <c r="L4" i="22"/>
  <c r="M10" i="22"/>
  <c r="M11" i="22"/>
  <c r="M15" i="22"/>
  <c r="M6" i="22"/>
  <c r="M8" i="22"/>
  <c r="M4" i="22"/>
  <c r="N10" i="22"/>
  <c r="N11" i="22"/>
  <c r="N15" i="22"/>
  <c r="N6" i="22"/>
  <c r="N8" i="22"/>
  <c r="N4" i="22"/>
  <c r="O10" i="22"/>
  <c r="O11" i="22"/>
  <c r="O15" i="22"/>
  <c r="O6" i="22"/>
  <c r="O8" i="22"/>
  <c r="O4" i="22"/>
  <c r="P10" i="22"/>
  <c r="P11" i="22"/>
  <c r="P15" i="22"/>
  <c r="P6" i="22"/>
  <c r="P8" i="22"/>
  <c r="P4" i="22"/>
  <c r="Q10" i="22"/>
  <c r="Q11" i="22"/>
  <c r="Q15" i="22"/>
  <c r="Q6" i="22"/>
  <c r="Q8" i="22"/>
  <c r="Q4" i="22"/>
  <c r="R10" i="22"/>
  <c r="R11" i="22"/>
  <c r="R15" i="22"/>
  <c r="R6" i="22"/>
  <c r="R8" i="22"/>
  <c r="R4" i="22"/>
  <c r="S10" i="22"/>
  <c r="S11" i="22"/>
  <c r="S15" i="22"/>
  <c r="S6" i="22"/>
  <c r="S8" i="22"/>
  <c r="S4" i="22"/>
  <c r="T10" i="22"/>
  <c r="T11" i="22"/>
  <c r="T15" i="22"/>
  <c r="T6" i="22"/>
  <c r="T8" i="22"/>
  <c r="T4" i="22"/>
  <c r="U10" i="22"/>
  <c r="U11" i="22"/>
  <c r="U15" i="22"/>
  <c r="U6" i="22"/>
  <c r="U8" i="22"/>
  <c r="U4" i="22"/>
  <c r="V10" i="22"/>
  <c r="V11" i="22"/>
  <c r="V15" i="22"/>
  <c r="V6" i="22"/>
  <c r="V8" i="22"/>
  <c r="V4" i="22"/>
  <c r="W10" i="22"/>
  <c r="W11" i="22"/>
  <c r="W15" i="22"/>
  <c r="W6" i="22"/>
  <c r="W8" i="22"/>
  <c r="W4" i="22"/>
  <c r="X10" i="22"/>
  <c r="X11" i="22"/>
  <c r="X15" i="22"/>
  <c r="X6" i="22"/>
  <c r="X8" i="22"/>
  <c r="X4" i="22"/>
  <c r="Y10" i="22"/>
  <c r="Y11" i="22"/>
  <c r="Y15" i="22"/>
  <c r="Y6" i="22"/>
  <c r="Y8" i="22"/>
  <c r="Y4" i="22"/>
  <c r="Z10" i="22"/>
  <c r="Z11" i="22"/>
  <c r="Z15" i="22"/>
  <c r="Z6" i="22"/>
  <c r="Z8" i="22"/>
  <c r="Z4" i="22"/>
  <c r="AA10" i="22"/>
  <c r="AA11" i="22"/>
  <c r="AA15" i="22"/>
  <c r="AA6" i="22"/>
  <c r="AA8" i="22"/>
  <c r="AA4" i="22"/>
  <c r="AB10" i="22"/>
  <c r="AB11" i="22"/>
  <c r="AB15" i="22"/>
  <c r="AB6" i="22"/>
  <c r="AB8" i="22"/>
  <c r="AB4" i="22"/>
  <c r="AC10" i="22"/>
  <c r="AC11" i="22"/>
  <c r="AC15" i="22"/>
  <c r="AC6" i="22"/>
  <c r="AC8" i="22"/>
  <c r="AC4" i="22"/>
  <c r="AD10" i="22"/>
  <c r="AD11" i="22"/>
  <c r="AD15" i="22"/>
  <c r="AD6" i="22"/>
  <c r="AD8" i="22"/>
  <c r="AD4" i="22"/>
  <c r="AE10" i="22"/>
  <c r="AE11" i="22"/>
  <c r="AE15" i="22"/>
  <c r="AE6" i="22"/>
  <c r="AE8" i="22"/>
  <c r="AE4" i="22"/>
  <c r="AF10" i="22"/>
  <c r="AF11" i="22"/>
  <c r="AF15" i="22"/>
  <c r="AF6" i="22"/>
  <c r="AF8" i="22"/>
  <c r="AF4" i="22"/>
  <c r="AG10" i="22"/>
  <c r="AG11" i="22"/>
  <c r="AG15" i="22"/>
  <c r="AG6" i="22"/>
  <c r="AG8" i="22"/>
  <c r="AG4" i="22"/>
  <c r="AH10" i="22"/>
  <c r="AH11" i="22"/>
  <c r="AH15" i="22"/>
  <c r="AH6" i="22"/>
  <c r="AH8" i="22"/>
  <c r="AH4" i="22"/>
  <c r="AI10" i="22"/>
  <c r="AI11" i="22"/>
  <c r="AI15" i="22"/>
  <c r="AI6" i="22"/>
  <c r="AI8" i="22"/>
  <c r="AI4" i="22"/>
  <c r="AJ10" i="22"/>
  <c r="AJ11" i="22"/>
  <c r="AJ15" i="22"/>
  <c r="AJ6" i="22"/>
  <c r="AJ8" i="22"/>
  <c r="AJ4" i="22"/>
  <c r="AK10" i="22"/>
  <c r="AK11" i="22"/>
  <c r="AK15" i="22"/>
  <c r="AK6" i="22"/>
  <c r="AK8" i="22"/>
  <c r="AK4" i="22"/>
  <c r="AL10" i="22"/>
  <c r="AL11" i="22"/>
  <c r="AL15" i="22"/>
  <c r="AL6" i="22"/>
  <c r="AL8" i="22"/>
  <c r="AL4" i="22"/>
  <c r="AM10" i="22"/>
  <c r="AM11" i="22"/>
  <c r="AM15" i="22"/>
  <c r="AM6" i="22"/>
  <c r="AM8" i="22"/>
  <c r="AM4" i="22"/>
  <c r="AN10" i="22"/>
  <c r="AN11" i="22"/>
  <c r="AN15" i="22"/>
  <c r="AN6" i="22"/>
  <c r="AN8" i="22"/>
  <c r="AN4" i="22"/>
  <c r="AO10" i="22"/>
  <c r="AO11" i="22"/>
  <c r="AO15" i="22"/>
  <c r="AO6" i="22"/>
  <c r="AO8" i="22"/>
  <c r="AO4" i="22"/>
  <c r="AP10" i="22"/>
  <c r="AP11" i="22"/>
  <c r="AP15" i="22"/>
  <c r="AP6" i="22"/>
  <c r="AP8" i="22"/>
  <c r="AP4" i="22"/>
  <c r="AQ10" i="22"/>
  <c r="AQ11" i="22"/>
  <c r="AQ15" i="22"/>
  <c r="AQ6" i="22"/>
  <c r="AQ8" i="22"/>
  <c r="AQ4" i="22"/>
  <c r="AR10" i="22"/>
  <c r="AR11" i="22"/>
  <c r="AR15" i="22"/>
  <c r="AR6" i="22"/>
  <c r="AR8" i="22"/>
  <c r="AR4" i="22"/>
  <c r="AS10" i="22"/>
  <c r="AS11" i="22"/>
  <c r="AS15" i="22"/>
  <c r="AS6" i="22"/>
  <c r="AS8" i="22"/>
  <c r="AS4" i="22"/>
  <c r="AT10" i="22"/>
  <c r="AT11" i="22"/>
  <c r="AT15" i="22"/>
  <c r="AT6" i="22"/>
  <c r="AT8" i="22"/>
  <c r="AT4" i="22"/>
  <c r="AU10" i="22"/>
  <c r="AU11" i="22"/>
  <c r="AU15" i="22"/>
  <c r="AU6" i="22"/>
  <c r="AU8" i="22"/>
  <c r="AU4" i="22"/>
  <c r="AV10" i="22"/>
  <c r="AV11" i="22"/>
  <c r="AV15" i="22"/>
  <c r="AV6" i="22"/>
  <c r="AV8" i="22"/>
  <c r="AV4" i="22"/>
  <c r="AW10" i="22"/>
  <c r="AW11" i="22"/>
  <c r="AW15" i="22"/>
  <c r="AW6" i="22"/>
  <c r="AW8" i="22"/>
  <c r="AW4" i="22"/>
  <c r="AX10" i="22"/>
  <c r="AX11" i="22"/>
  <c r="AX15" i="22"/>
  <c r="AX6" i="22"/>
  <c r="AX8" i="22"/>
  <c r="AX4" i="22"/>
  <c r="AY10" i="22"/>
  <c r="AY11" i="22"/>
  <c r="AY15" i="22"/>
  <c r="AY6" i="22"/>
  <c r="AY8" i="22"/>
  <c r="AY4" i="22"/>
  <c r="AZ10" i="22"/>
  <c r="AZ11" i="22"/>
  <c r="AZ15" i="22"/>
  <c r="AZ6" i="22"/>
  <c r="AZ8" i="22"/>
  <c r="AZ4" i="22"/>
  <c r="BA10" i="22"/>
  <c r="BA11" i="22"/>
  <c r="BA15" i="22"/>
  <c r="BA6" i="22"/>
  <c r="BA8" i="22"/>
  <c r="BA4" i="22"/>
  <c r="C4" i="22"/>
  <c r="C14" i="44"/>
  <c r="D16" i="48"/>
  <c r="C4" i="31"/>
  <c r="C15" i="44"/>
  <c r="D17" i="48"/>
  <c r="D6" i="15"/>
  <c r="D4" i="15"/>
  <c r="E6" i="15"/>
  <c r="E4" i="15"/>
  <c r="F6" i="15"/>
  <c r="F4" i="15"/>
  <c r="G6" i="15"/>
  <c r="G4" i="15"/>
  <c r="H6" i="15"/>
  <c r="H4" i="15"/>
  <c r="I6" i="15"/>
  <c r="I4" i="15"/>
  <c r="J6" i="15"/>
  <c r="J4" i="15"/>
  <c r="K6" i="15"/>
  <c r="K4" i="15"/>
  <c r="L6" i="15"/>
  <c r="L4" i="15"/>
  <c r="M6" i="15"/>
  <c r="M4" i="15"/>
  <c r="N6" i="15"/>
  <c r="N4" i="15"/>
  <c r="O6" i="15"/>
  <c r="O4" i="15"/>
  <c r="P6" i="15"/>
  <c r="P4" i="15"/>
  <c r="Q6" i="15"/>
  <c r="Q4" i="15"/>
  <c r="R6" i="15"/>
  <c r="R4" i="15"/>
  <c r="S6" i="15"/>
  <c r="S4" i="15"/>
  <c r="T6" i="15"/>
  <c r="T4" i="15"/>
  <c r="U6" i="15"/>
  <c r="U4" i="15"/>
  <c r="V6" i="15"/>
  <c r="V4" i="15"/>
  <c r="W6" i="15"/>
  <c r="W4" i="15"/>
  <c r="X6" i="15"/>
  <c r="X4" i="15"/>
  <c r="Y6" i="15"/>
  <c r="Y4" i="15"/>
  <c r="Z6" i="15"/>
  <c r="Z4" i="15"/>
  <c r="AA6" i="15"/>
  <c r="AA4" i="15"/>
  <c r="AB6" i="15"/>
  <c r="AB4" i="15"/>
  <c r="AC6" i="15"/>
  <c r="AC4" i="15"/>
  <c r="AD6" i="15"/>
  <c r="AD4" i="15"/>
  <c r="AE6" i="15"/>
  <c r="AE4" i="15"/>
  <c r="AF6" i="15"/>
  <c r="AF4" i="15"/>
  <c r="AG6" i="15"/>
  <c r="AG4" i="15"/>
  <c r="AH6" i="15"/>
  <c r="AH4" i="15"/>
  <c r="AI6" i="15"/>
  <c r="AI4" i="15"/>
  <c r="AJ6" i="15"/>
  <c r="AJ4" i="15"/>
  <c r="AK6" i="15"/>
  <c r="AK4" i="15"/>
  <c r="AL6" i="15"/>
  <c r="AL4" i="15"/>
  <c r="AM6" i="15"/>
  <c r="AM4" i="15"/>
  <c r="AN6" i="15"/>
  <c r="AN4" i="15"/>
  <c r="AO6" i="15"/>
  <c r="AO4" i="15"/>
  <c r="AP6" i="15"/>
  <c r="AP4" i="15"/>
  <c r="AQ6" i="15"/>
  <c r="AQ4" i="15"/>
  <c r="AR6" i="15"/>
  <c r="AR4" i="15"/>
  <c r="AS6" i="15"/>
  <c r="AS4" i="15"/>
  <c r="AT6" i="15"/>
  <c r="AT4" i="15"/>
  <c r="AU6" i="15"/>
  <c r="AU4" i="15"/>
  <c r="AV6" i="15"/>
  <c r="AV4" i="15"/>
  <c r="AW6" i="15"/>
  <c r="AW4" i="15"/>
  <c r="AX6" i="15"/>
  <c r="AX4" i="15"/>
  <c r="AY6" i="15"/>
  <c r="AY4" i="15"/>
  <c r="AZ6" i="15"/>
  <c r="AZ4" i="15"/>
  <c r="BA6" i="15"/>
  <c r="BA4" i="15"/>
  <c r="C4" i="15"/>
  <c r="C16" i="44"/>
  <c r="D18" i="48"/>
  <c r="C5" i="37"/>
  <c r="C4" i="37"/>
  <c r="C18" i="44"/>
  <c r="D20" i="48"/>
  <c r="E5" i="25"/>
  <c r="E7" i="25"/>
  <c r="E9" i="25"/>
  <c r="E11" i="25"/>
  <c r="E13" i="25"/>
  <c r="E17" i="25"/>
  <c r="D14" i="25"/>
  <c r="E18" i="25"/>
  <c r="E20" i="25"/>
  <c r="E4" i="25"/>
  <c r="F5" i="25"/>
  <c r="F7" i="25"/>
  <c r="F9" i="25"/>
  <c r="F11" i="25"/>
  <c r="F13" i="25"/>
  <c r="F16" i="25"/>
  <c r="F17" i="25"/>
  <c r="F18" i="25"/>
  <c r="F20" i="25"/>
  <c r="F4" i="25"/>
  <c r="G5" i="25"/>
  <c r="G7" i="25"/>
  <c r="G9" i="25"/>
  <c r="G11" i="25"/>
  <c r="G13" i="25"/>
  <c r="G16" i="25"/>
  <c r="G17" i="25"/>
  <c r="G18" i="25"/>
  <c r="G20" i="25"/>
  <c r="G4" i="25"/>
  <c r="H5" i="25"/>
  <c r="H7" i="25"/>
  <c r="H9" i="25"/>
  <c r="H11" i="25"/>
  <c r="H13" i="25"/>
  <c r="H16" i="25"/>
  <c r="H17" i="25"/>
  <c r="H18" i="25"/>
  <c r="H20" i="25"/>
  <c r="H4" i="25"/>
  <c r="I5" i="25"/>
  <c r="I7" i="25"/>
  <c r="I9" i="25"/>
  <c r="I11" i="25"/>
  <c r="I13" i="25"/>
  <c r="I16" i="25"/>
  <c r="I17" i="25"/>
  <c r="I18" i="25"/>
  <c r="I20" i="25"/>
  <c r="I4" i="25"/>
  <c r="J5" i="25"/>
  <c r="J7" i="25"/>
  <c r="J9" i="25"/>
  <c r="J11" i="25"/>
  <c r="J13" i="25"/>
  <c r="J16" i="25"/>
  <c r="J17" i="25"/>
  <c r="J18" i="25"/>
  <c r="J20" i="25"/>
  <c r="J4" i="25"/>
  <c r="K5" i="25"/>
  <c r="K7" i="25"/>
  <c r="K9" i="25"/>
  <c r="K11" i="25"/>
  <c r="K13" i="25"/>
  <c r="K16" i="25"/>
  <c r="K17" i="25"/>
  <c r="K18" i="25"/>
  <c r="K20" i="25"/>
  <c r="K4" i="25"/>
  <c r="L5" i="25"/>
  <c r="L7" i="25"/>
  <c r="L9" i="25"/>
  <c r="L11" i="25"/>
  <c r="L13" i="25"/>
  <c r="L16" i="25"/>
  <c r="L17" i="25"/>
  <c r="L18" i="25"/>
  <c r="L20" i="25"/>
  <c r="L4" i="25"/>
  <c r="M5" i="25"/>
  <c r="M7" i="25"/>
  <c r="M9" i="25"/>
  <c r="M11" i="25"/>
  <c r="M13" i="25"/>
  <c r="M16" i="25"/>
  <c r="M17" i="25"/>
  <c r="M18" i="25"/>
  <c r="M20" i="25"/>
  <c r="M4" i="25"/>
  <c r="N5" i="25"/>
  <c r="N7" i="25"/>
  <c r="N9" i="25"/>
  <c r="N11" i="25"/>
  <c r="N13" i="25"/>
  <c r="N16" i="25"/>
  <c r="N17" i="25"/>
  <c r="N18" i="25"/>
  <c r="N20" i="25"/>
  <c r="N4" i="25"/>
  <c r="O5" i="25"/>
  <c r="O7" i="25"/>
  <c r="O9" i="25"/>
  <c r="O11" i="25"/>
  <c r="O13" i="25"/>
  <c r="O16" i="25"/>
  <c r="O17" i="25"/>
  <c r="O18" i="25"/>
  <c r="O20" i="25"/>
  <c r="O4" i="25"/>
  <c r="P5" i="25"/>
  <c r="P7" i="25"/>
  <c r="P9" i="25"/>
  <c r="P11" i="25"/>
  <c r="P13" i="25"/>
  <c r="P16" i="25"/>
  <c r="P17" i="25"/>
  <c r="P18" i="25"/>
  <c r="P20" i="25"/>
  <c r="P4" i="25"/>
  <c r="Q5" i="25"/>
  <c r="Q7" i="25"/>
  <c r="Q9" i="25"/>
  <c r="Q11" i="25"/>
  <c r="Q13" i="25"/>
  <c r="Q16" i="25"/>
  <c r="Q17" i="25"/>
  <c r="Q18" i="25"/>
  <c r="Q20" i="25"/>
  <c r="Q4" i="25"/>
  <c r="R5" i="25"/>
  <c r="R7" i="25"/>
  <c r="R9" i="25"/>
  <c r="R11" i="25"/>
  <c r="R13" i="25"/>
  <c r="R16" i="25"/>
  <c r="R17" i="25"/>
  <c r="R18" i="25"/>
  <c r="R20" i="25"/>
  <c r="R4" i="25"/>
  <c r="S5" i="25"/>
  <c r="S7" i="25"/>
  <c r="S9" i="25"/>
  <c r="S11" i="25"/>
  <c r="S13" i="25"/>
  <c r="S16" i="25"/>
  <c r="S17" i="25"/>
  <c r="S18" i="25"/>
  <c r="S20" i="25"/>
  <c r="S4" i="25"/>
  <c r="T5" i="25"/>
  <c r="T7" i="25"/>
  <c r="T9" i="25"/>
  <c r="T11" i="25"/>
  <c r="T13" i="25"/>
  <c r="T16" i="25"/>
  <c r="T17" i="25"/>
  <c r="T18" i="25"/>
  <c r="T20" i="25"/>
  <c r="T4" i="25"/>
  <c r="U5" i="25"/>
  <c r="U7" i="25"/>
  <c r="U9" i="25"/>
  <c r="U11" i="25"/>
  <c r="U13" i="25"/>
  <c r="U16" i="25"/>
  <c r="U17" i="25"/>
  <c r="U18" i="25"/>
  <c r="U20" i="25"/>
  <c r="U4" i="25"/>
  <c r="V5" i="25"/>
  <c r="V7" i="25"/>
  <c r="V9" i="25"/>
  <c r="V11" i="25"/>
  <c r="V13" i="25"/>
  <c r="V16" i="25"/>
  <c r="V17" i="25"/>
  <c r="V18" i="25"/>
  <c r="V20" i="25"/>
  <c r="V4" i="25"/>
  <c r="W5" i="25"/>
  <c r="W7" i="25"/>
  <c r="W9" i="25"/>
  <c r="W11" i="25"/>
  <c r="W13" i="25"/>
  <c r="W16" i="25"/>
  <c r="W17" i="25"/>
  <c r="W18" i="25"/>
  <c r="W20" i="25"/>
  <c r="W4" i="25"/>
  <c r="X5" i="25"/>
  <c r="X7" i="25"/>
  <c r="X9" i="25"/>
  <c r="X11" i="25"/>
  <c r="X13" i="25"/>
  <c r="X16" i="25"/>
  <c r="X17" i="25"/>
  <c r="X18" i="25"/>
  <c r="X20" i="25"/>
  <c r="X4" i="25"/>
  <c r="Y5" i="25"/>
  <c r="Y7" i="25"/>
  <c r="Y9" i="25"/>
  <c r="Y11" i="25"/>
  <c r="Y13" i="25"/>
  <c r="Y16" i="25"/>
  <c r="Y17" i="25"/>
  <c r="Y18" i="25"/>
  <c r="Y20" i="25"/>
  <c r="Y4" i="25"/>
  <c r="Z5" i="25"/>
  <c r="Z7" i="25"/>
  <c r="Z9" i="25"/>
  <c r="Z11" i="25"/>
  <c r="Z13" i="25"/>
  <c r="Z16" i="25"/>
  <c r="Z17" i="25"/>
  <c r="Z18" i="25"/>
  <c r="Z20" i="25"/>
  <c r="Z4" i="25"/>
  <c r="AA5" i="25"/>
  <c r="AA7" i="25"/>
  <c r="AA9" i="25"/>
  <c r="AA11" i="25"/>
  <c r="AA13" i="25"/>
  <c r="AA16" i="25"/>
  <c r="AA17" i="25"/>
  <c r="AA18" i="25"/>
  <c r="AA20" i="25"/>
  <c r="AA4" i="25"/>
  <c r="AB5" i="25"/>
  <c r="AB7" i="25"/>
  <c r="AB9" i="25"/>
  <c r="AB11" i="25"/>
  <c r="AB13" i="25"/>
  <c r="AB16" i="25"/>
  <c r="AB17" i="25"/>
  <c r="AB18" i="25"/>
  <c r="AB20" i="25"/>
  <c r="AB4" i="25"/>
  <c r="AC5" i="25"/>
  <c r="AC7" i="25"/>
  <c r="AC9" i="25"/>
  <c r="AC11" i="25"/>
  <c r="AC13" i="25"/>
  <c r="AC16" i="25"/>
  <c r="AC17" i="25"/>
  <c r="AC18" i="25"/>
  <c r="AC20" i="25"/>
  <c r="AC4" i="25"/>
  <c r="AD5" i="25"/>
  <c r="AD7" i="25"/>
  <c r="AD9" i="25"/>
  <c r="AD11" i="25"/>
  <c r="AD13" i="25"/>
  <c r="AD16" i="25"/>
  <c r="AD17" i="25"/>
  <c r="AD18" i="25"/>
  <c r="AD20" i="25"/>
  <c r="AD4" i="25"/>
  <c r="AE5" i="25"/>
  <c r="AE7" i="25"/>
  <c r="AE9" i="25"/>
  <c r="AE11" i="25"/>
  <c r="AE13" i="25"/>
  <c r="AE16" i="25"/>
  <c r="AE17" i="25"/>
  <c r="AE18" i="25"/>
  <c r="AE20" i="25"/>
  <c r="AE4" i="25"/>
  <c r="AF5" i="25"/>
  <c r="AF7" i="25"/>
  <c r="AF9" i="25"/>
  <c r="AF11" i="25"/>
  <c r="AF13" i="25"/>
  <c r="AF16" i="25"/>
  <c r="AF17" i="25"/>
  <c r="AF18" i="25"/>
  <c r="AF20" i="25"/>
  <c r="AF4" i="25"/>
  <c r="AG5" i="25"/>
  <c r="AG7" i="25"/>
  <c r="AG9" i="25"/>
  <c r="AG11" i="25"/>
  <c r="AG13" i="25"/>
  <c r="AG16" i="25"/>
  <c r="AG17" i="25"/>
  <c r="AG18" i="25"/>
  <c r="AG20" i="25"/>
  <c r="AG4" i="25"/>
  <c r="AH5" i="25"/>
  <c r="AH7" i="25"/>
  <c r="AH9" i="25"/>
  <c r="AH11" i="25"/>
  <c r="AH13" i="25"/>
  <c r="AH16" i="25"/>
  <c r="AH17" i="25"/>
  <c r="AH18" i="25"/>
  <c r="AH20" i="25"/>
  <c r="AH4" i="25"/>
  <c r="AI5" i="25"/>
  <c r="AI7" i="25"/>
  <c r="AI9" i="25"/>
  <c r="AI11" i="25"/>
  <c r="AI13" i="25"/>
  <c r="AI16" i="25"/>
  <c r="AI17" i="25"/>
  <c r="AI18" i="25"/>
  <c r="AI20" i="25"/>
  <c r="AI4" i="25"/>
  <c r="AJ5" i="25"/>
  <c r="AJ7" i="25"/>
  <c r="AJ9" i="25"/>
  <c r="AJ11" i="25"/>
  <c r="AJ13" i="25"/>
  <c r="AJ16" i="25"/>
  <c r="AJ17" i="25"/>
  <c r="AJ18" i="25"/>
  <c r="AJ20" i="25"/>
  <c r="AJ4" i="25"/>
  <c r="AK5" i="25"/>
  <c r="AK7" i="25"/>
  <c r="AK9" i="25"/>
  <c r="AK11" i="25"/>
  <c r="AK13" i="25"/>
  <c r="AK16" i="25"/>
  <c r="AK17" i="25"/>
  <c r="AK18" i="25"/>
  <c r="AK20" i="25"/>
  <c r="AK4" i="25"/>
  <c r="AL5" i="25"/>
  <c r="AL7" i="25"/>
  <c r="AL9" i="25"/>
  <c r="AL11" i="25"/>
  <c r="AL13" i="25"/>
  <c r="AL16" i="25"/>
  <c r="AL17" i="25"/>
  <c r="AL18" i="25"/>
  <c r="AL20" i="25"/>
  <c r="AL4" i="25"/>
  <c r="AM5" i="25"/>
  <c r="AM7" i="25"/>
  <c r="AM9" i="25"/>
  <c r="AM11" i="25"/>
  <c r="AM13" i="25"/>
  <c r="AM16" i="25"/>
  <c r="AM17" i="25"/>
  <c r="AM18" i="25"/>
  <c r="AM20" i="25"/>
  <c r="AM4" i="25"/>
  <c r="AN5" i="25"/>
  <c r="AN7" i="25"/>
  <c r="AN9" i="25"/>
  <c r="AN11" i="25"/>
  <c r="AN13" i="25"/>
  <c r="AN16" i="25"/>
  <c r="AN17" i="25"/>
  <c r="AN18" i="25"/>
  <c r="AN20" i="25"/>
  <c r="AN4" i="25"/>
  <c r="AO5" i="25"/>
  <c r="AO7" i="25"/>
  <c r="AO9" i="25"/>
  <c r="AO11" i="25"/>
  <c r="AO13" i="25"/>
  <c r="AO16" i="25"/>
  <c r="AO17" i="25"/>
  <c r="AO18" i="25"/>
  <c r="AO20" i="25"/>
  <c r="AO4" i="25"/>
  <c r="AP5" i="25"/>
  <c r="AP7" i="25"/>
  <c r="AP9" i="25"/>
  <c r="AP11" i="25"/>
  <c r="AP13" i="25"/>
  <c r="AP16" i="25"/>
  <c r="AP17" i="25"/>
  <c r="AP18" i="25"/>
  <c r="AP20" i="25"/>
  <c r="AP4" i="25"/>
  <c r="AQ5" i="25"/>
  <c r="AQ7" i="25"/>
  <c r="AQ9" i="25"/>
  <c r="AQ11" i="25"/>
  <c r="AQ13" i="25"/>
  <c r="AQ16" i="25"/>
  <c r="AQ17" i="25"/>
  <c r="AQ18" i="25"/>
  <c r="AQ20" i="25"/>
  <c r="AQ4" i="25"/>
  <c r="AR5" i="25"/>
  <c r="AR7" i="25"/>
  <c r="AR9" i="25"/>
  <c r="AR11" i="25"/>
  <c r="AR13" i="25"/>
  <c r="AR16" i="25"/>
  <c r="AR17" i="25"/>
  <c r="AR18" i="25"/>
  <c r="AR20" i="25"/>
  <c r="AR4" i="25"/>
  <c r="AS5" i="25"/>
  <c r="AS7" i="25"/>
  <c r="AS9" i="25"/>
  <c r="AS11" i="25"/>
  <c r="AS13" i="25"/>
  <c r="AS16" i="25"/>
  <c r="AS17" i="25"/>
  <c r="AS18" i="25"/>
  <c r="AS20" i="25"/>
  <c r="AS4" i="25"/>
  <c r="AT5" i="25"/>
  <c r="AT7" i="25"/>
  <c r="AT9" i="25"/>
  <c r="AT11" i="25"/>
  <c r="AT13" i="25"/>
  <c r="AT16" i="25"/>
  <c r="AT17" i="25"/>
  <c r="AT18" i="25"/>
  <c r="AT20" i="25"/>
  <c r="AT4" i="25"/>
  <c r="AU5" i="25"/>
  <c r="AU7" i="25"/>
  <c r="AU9" i="25"/>
  <c r="AU11" i="25"/>
  <c r="AU13" i="25"/>
  <c r="AU16" i="25"/>
  <c r="AU17" i="25"/>
  <c r="AU18" i="25"/>
  <c r="AU20" i="25"/>
  <c r="AU4" i="25"/>
  <c r="AV5" i="25"/>
  <c r="AV7" i="25"/>
  <c r="AV9" i="25"/>
  <c r="AV11" i="25"/>
  <c r="AV13" i="25"/>
  <c r="AV16" i="25"/>
  <c r="AV17" i="25"/>
  <c r="AV18" i="25"/>
  <c r="AV20" i="25"/>
  <c r="AV4" i="25"/>
  <c r="AW5" i="25"/>
  <c r="AW7" i="25"/>
  <c r="AW9" i="25"/>
  <c r="AW11" i="25"/>
  <c r="AW13" i="25"/>
  <c r="AW16" i="25"/>
  <c r="AW17" i="25"/>
  <c r="AW18" i="25"/>
  <c r="AW20" i="25"/>
  <c r="AW4" i="25"/>
  <c r="AX5" i="25"/>
  <c r="AX7" i="25"/>
  <c r="AX9" i="25"/>
  <c r="AX11" i="25"/>
  <c r="AX13" i="25"/>
  <c r="AX16" i="25"/>
  <c r="AX17" i="25"/>
  <c r="AX18" i="25"/>
  <c r="AX20" i="25"/>
  <c r="AX4" i="25"/>
  <c r="AY5" i="25"/>
  <c r="AY7" i="25"/>
  <c r="AY9" i="25"/>
  <c r="AY11" i="25"/>
  <c r="AY13" i="25"/>
  <c r="AY16" i="25"/>
  <c r="AY17" i="25"/>
  <c r="AY18" i="25"/>
  <c r="AY20" i="25"/>
  <c r="AY4" i="25"/>
  <c r="AZ5" i="25"/>
  <c r="AZ7" i="25"/>
  <c r="AZ9" i="25"/>
  <c r="AZ11" i="25"/>
  <c r="AZ13" i="25"/>
  <c r="AZ16" i="25"/>
  <c r="AZ17" i="25"/>
  <c r="AZ18" i="25"/>
  <c r="AZ20" i="25"/>
  <c r="AZ4" i="25"/>
  <c r="BA5" i="25"/>
  <c r="BA7" i="25"/>
  <c r="BA9" i="25"/>
  <c r="BA11" i="25"/>
  <c r="BA13" i="25"/>
  <c r="BA16" i="25"/>
  <c r="BA17" i="25"/>
  <c r="BA18" i="25"/>
  <c r="BA20" i="25"/>
  <c r="BA4" i="25"/>
  <c r="BB5" i="25"/>
  <c r="BB7" i="25"/>
  <c r="BB9" i="25"/>
  <c r="BB11" i="25"/>
  <c r="BB13" i="25"/>
  <c r="BB16" i="25"/>
  <c r="BB17" i="25"/>
  <c r="BB18" i="25"/>
  <c r="BB20" i="25"/>
  <c r="BB4" i="25"/>
  <c r="D4" i="25"/>
  <c r="C21" i="44"/>
  <c r="D23" i="48"/>
  <c r="D19" i="35"/>
  <c r="D20" i="35"/>
  <c r="D21" i="35"/>
  <c r="D22" i="35"/>
  <c r="D23" i="35"/>
  <c r="D24" i="35"/>
  <c r="D25" i="35"/>
  <c r="D4" i="35"/>
  <c r="E19" i="35"/>
  <c r="E20" i="35"/>
  <c r="E21" i="35"/>
  <c r="E22" i="35"/>
  <c r="E23" i="35"/>
  <c r="E24" i="35"/>
  <c r="E25" i="35"/>
  <c r="E4" i="35"/>
  <c r="F19" i="35"/>
  <c r="F20" i="35"/>
  <c r="F21" i="35"/>
  <c r="F22" i="35"/>
  <c r="F23" i="35"/>
  <c r="F24" i="35"/>
  <c r="F25" i="35"/>
  <c r="F4" i="35"/>
  <c r="G19" i="35"/>
  <c r="G20" i="35"/>
  <c r="G21" i="35"/>
  <c r="G22" i="35"/>
  <c r="G23" i="35"/>
  <c r="G24" i="35"/>
  <c r="G25" i="35"/>
  <c r="G4" i="35"/>
  <c r="H19" i="35"/>
  <c r="H20" i="35"/>
  <c r="H21" i="35"/>
  <c r="H22" i="35"/>
  <c r="H23" i="35"/>
  <c r="H24" i="35"/>
  <c r="H25" i="35"/>
  <c r="H4" i="35"/>
  <c r="I19" i="35"/>
  <c r="I20" i="35"/>
  <c r="I21" i="35"/>
  <c r="I22" i="35"/>
  <c r="I23" i="35"/>
  <c r="I24" i="35"/>
  <c r="I25" i="35"/>
  <c r="I4" i="35"/>
  <c r="J19" i="35"/>
  <c r="J20" i="35"/>
  <c r="J21" i="35"/>
  <c r="J22" i="35"/>
  <c r="J23" i="35"/>
  <c r="J24" i="35"/>
  <c r="J25" i="35"/>
  <c r="J4" i="35"/>
  <c r="K19" i="35"/>
  <c r="K20" i="35"/>
  <c r="K21" i="35"/>
  <c r="K22" i="35"/>
  <c r="K23" i="35"/>
  <c r="K24" i="35"/>
  <c r="K25" i="35"/>
  <c r="K4" i="35"/>
  <c r="L19" i="35"/>
  <c r="L20" i="35"/>
  <c r="L21" i="35"/>
  <c r="L22" i="35"/>
  <c r="L23" i="35"/>
  <c r="L24" i="35"/>
  <c r="L25" i="35"/>
  <c r="L4" i="35"/>
  <c r="M19" i="35"/>
  <c r="M20" i="35"/>
  <c r="M21" i="35"/>
  <c r="M22" i="35"/>
  <c r="M23" i="35"/>
  <c r="M24" i="35"/>
  <c r="M25" i="35"/>
  <c r="M4" i="35"/>
  <c r="N19" i="35"/>
  <c r="N20" i="35"/>
  <c r="N21" i="35"/>
  <c r="N22" i="35"/>
  <c r="N23" i="35"/>
  <c r="N24" i="35"/>
  <c r="N25" i="35"/>
  <c r="N4" i="35"/>
  <c r="O19" i="35"/>
  <c r="O20" i="35"/>
  <c r="O21" i="35"/>
  <c r="O22" i="35"/>
  <c r="O23" i="35"/>
  <c r="O24" i="35"/>
  <c r="O25" i="35"/>
  <c r="O4" i="35"/>
  <c r="P19" i="35"/>
  <c r="P20" i="35"/>
  <c r="P21" i="35"/>
  <c r="P22" i="35"/>
  <c r="P23" i="35"/>
  <c r="P24" i="35"/>
  <c r="P25" i="35"/>
  <c r="P4" i="35"/>
  <c r="Q19" i="35"/>
  <c r="Q20" i="35"/>
  <c r="Q21" i="35"/>
  <c r="Q22" i="35"/>
  <c r="Q23" i="35"/>
  <c r="Q24" i="35"/>
  <c r="Q25" i="35"/>
  <c r="Q4" i="35"/>
  <c r="R19" i="35"/>
  <c r="R20" i="35"/>
  <c r="R21" i="35"/>
  <c r="R22" i="35"/>
  <c r="R23" i="35"/>
  <c r="R24" i="35"/>
  <c r="R25" i="35"/>
  <c r="R4" i="35"/>
  <c r="S19" i="35"/>
  <c r="S20" i="35"/>
  <c r="S21" i="35"/>
  <c r="S22" i="35"/>
  <c r="S23" i="35"/>
  <c r="S24" i="35"/>
  <c r="S25" i="35"/>
  <c r="S4" i="35"/>
  <c r="T19" i="35"/>
  <c r="T20" i="35"/>
  <c r="T21" i="35"/>
  <c r="T22" i="35"/>
  <c r="T23" i="35"/>
  <c r="T24" i="35"/>
  <c r="T25" i="35"/>
  <c r="T4" i="35"/>
  <c r="U19" i="35"/>
  <c r="U20" i="35"/>
  <c r="U21" i="35"/>
  <c r="U22" i="35"/>
  <c r="U23" i="35"/>
  <c r="U24" i="35"/>
  <c r="U25" i="35"/>
  <c r="U4" i="35"/>
  <c r="V19" i="35"/>
  <c r="V20" i="35"/>
  <c r="V21" i="35"/>
  <c r="V22" i="35"/>
  <c r="V23" i="35"/>
  <c r="V24" i="35"/>
  <c r="V25" i="35"/>
  <c r="V4" i="35"/>
  <c r="W19" i="35"/>
  <c r="W20" i="35"/>
  <c r="W21" i="35"/>
  <c r="W22" i="35"/>
  <c r="W23" i="35"/>
  <c r="W24" i="35"/>
  <c r="W25" i="35"/>
  <c r="W4" i="35"/>
  <c r="X19" i="35"/>
  <c r="X20" i="35"/>
  <c r="X21" i="35"/>
  <c r="X22" i="35"/>
  <c r="X23" i="35"/>
  <c r="X24" i="35"/>
  <c r="X25" i="35"/>
  <c r="X4" i="35"/>
  <c r="Y19" i="35"/>
  <c r="Y20" i="35"/>
  <c r="Y21" i="35"/>
  <c r="Y22" i="35"/>
  <c r="Y23" i="35"/>
  <c r="Y24" i="35"/>
  <c r="Y25" i="35"/>
  <c r="Y4" i="35"/>
  <c r="Z19" i="35"/>
  <c r="Z20" i="35"/>
  <c r="Z21" i="35"/>
  <c r="Z22" i="35"/>
  <c r="Z23" i="35"/>
  <c r="Z24" i="35"/>
  <c r="Z25" i="35"/>
  <c r="Z4" i="35"/>
  <c r="AA19" i="35"/>
  <c r="AA20" i="35"/>
  <c r="AA21" i="35"/>
  <c r="AA22" i="35"/>
  <c r="AA23" i="35"/>
  <c r="AA24" i="35"/>
  <c r="AA25" i="35"/>
  <c r="AA4" i="35"/>
  <c r="AB19" i="35"/>
  <c r="AB20" i="35"/>
  <c r="AB21" i="35"/>
  <c r="AB22" i="35"/>
  <c r="AB23" i="35"/>
  <c r="AB24" i="35"/>
  <c r="AB25" i="35"/>
  <c r="AB4" i="35"/>
  <c r="AC19" i="35"/>
  <c r="AC20" i="35"/>
  <c r="AC21" i="35"/>
  <c r="AC22" i="35"/>
  <c r="AC23" i="35"/>
  <c r="AC24" i="35"/>
  <c r="AC25" i="35"/>
  <c r="AC4" i="35"/>
  <c r="AD19" i="35"/>
  <c r="AD20" i="35"/>
  <c r="AD21" i="35"/>
  <c r="AD22" i="35"/>
  <c r="AD23" i="35"/>
  <c r="AD24" i="35"/>
  <c r="AD25" i="35"/>
  <c r="AD4" i="35"/>
  <c r="AE19" i="35"/>
  <c r="AE20" i="35"/>
  <c r="AE21" i="35"/>
  <c r="AE22" i="35"/>
  <c r="AE23" i="35"/>
  <c r="AE24" i="35"/>
  <c r="AE25" i="35"/>
  <c r="AE4" i="35"/>
  <c r="AF19" i="35"/>
  <c r="AF20" i="35"/>
  <c r="AF21" i="35"/>
  <c r="AF22" i="35"/>
  <c r="AF23" i="35"/>
  <c r="AF24" i="35"/>
  <c r="AF25" i="35"/>
  <c r="AF4" i="35"/>
  <c r="AG19" i="35"/>
  <c r="AG20" i="35"/>
  <c r="AG21" i="35"/>
  <c r="AG22" i="35"/>
  <c r="AG23" i="35"/>
  <c r="AG24" i="35"/>
  <c r="AG25" i="35"/>
  <c r="AG4" i="35"/>
  <c r="AH19" i="35"/>
  <c r="AH20" i="35"/>
  <c r="AH21" i="35"/>
  <c r="AH22" i="35"/>
  <c r="AH23" i="35"/>
  <c r="AH24" i="35"/>
  <c r="AH25" i="35"/>
  <c r="AH4" i="35"/>
  <c r="AI19" i="35"/>
  <c r="AI20" i="35"/>
  <c r="AI21" i="35"/>
  <c r="AI22" i="35"/>
  <c r="AI23" i="35"/>
  <c r="AI24" i="35"/>
  <c r="AI25" i="35"/>
  <c r="AI4" i="35"/>
  <c r="AJ19" i="35"/>
  <c r="AJ20" i="35"/>
  <c r="AJ21" i="35"/>
  <c r="AJ22" i="35"/>
  <c r="AJ23" i="35"/>
  <c r="AJ24" i="35"/>
  <c r="AJ25" i="35"/>
  <c r="AJ4" i="35"/>
  <c r="AK19" i="35"/>
  <c r="AK20" i="35"/>
  <c r="AK21" i="35"/>
  <c r="AK22" i="35"/>
  <c r="AK23" i="35"/>
  <c r="AK24" i="35"/>
  <c r="AK25" i="35"/>
  <c r="AK4" i="35"/>
  <c r="AL19" i="35"/>
  <c r="AL20" i="35"/>
  <c r="AL21" i="35"/>
  <c r="AL22" i="35"/>
  <c r="AL23" i="35"/>
  <c r="AL24" i="35"/>
  <c r="AL25" i="35"/>
  <c r="AL4" i="35"/>
  <c r="AM19" i="35"/>
  <c r="AM20" i="35"/>
  <c r="AM21" i="35"/>
  <c r="AM22" i="35"/>
  <c r="AM23" i="35"/>
  <c r="AM24" i="35"/>
  <c r="AM25" i="35"/>
  <c r="AM4" i="35"/>
  <c r="AN19" i="35"/>
  <c r="AN20" i="35"/>
  <c r="AN21" i="35"/>
  <c r="AN22" i="35"/>
  <c r="AN23" i="35"/>
  <c r="AN24" i="35"/>
  <c r="AN25" i="35"/>
  <c r="AN4" i="35"/>
  <c r="AO19" i="35"/>
  <c r="AO20" i="35"/>
  <c r="AO21" i="35"/>
  <c r="AO22" i="35"/>
  <c r="AO23" i="35"/>
  <c r="AO24" i="35"/>
  <c r="AO25" i="35"/>
  <c r="AO4" i="35"/>
  <c r="AP19" i="35"/>
  <c r="AP20" i="35"/>
  <c r="AP21" i="35"/>
  <c r="AP22" i="35"/>
  <c r="AP23" i="35"/>
  <c r="AP24" i="35"/>
  <c r="AP25" i="35"/>
  <c r="AP4" i="35"/>
  <c r="AQ19" i="35"/>
  <c r="AQ20" i="35"/>
  <c r="AQ21" i="35"/>
  <c r="AQ22" i="35"/>
  <c r="AQ23" i="35"/>
  <c r="AQ24" i="35"/>
  <c r="AQ25" i="35"/>
  <c r="AQ4" i="35"/>
  <c r="AR19" i="35"/>
  <c r="AR20" i="35"/>
  <c r="AR21" i="35"/>
  <c r="AR22" i="35"/>
  <c r="AR23" i="35"/>
  <c r="AR24" i="35"/>
  <c r="AR25" i="35"/>
  <c r="AR4" i="35"/>
  <c r="AS19" i="35"/>
  <c r="AS20" i="35"/>
  <c r="AS21" i="35"/>
  <c r="AS22" i="35"/>
  <c r="AS23" i="35"/>
  <c r="AS24" i="35"/>
  <c r="AS25" i="35"/>
  <c r="AS4" i="35"/>
  <c r="AT19" i="35"/>
  <c r="AT20" i="35"/>
  <c r="AT21" i="35"/>
  <c r="AT22" i="35"/>
  <c r="AT23" i="35"/>
  <c r="AT24" i="35"/>
  <c r="AT25" i="35"/>
  <c r="AT4" i="35"/>
  <c r="AU19" i="35"/>
  <c r="AU20" i="35"/>
  <c r="AU21" i="35"/>
  <c r="AU22" i="35"/>
  <c r="AU23" i="35"/>
  <c r="AU24" i="35"/>
  <c r="AU25" i="35"/>
  <c r="AU4" i="35"/>
  <c r="AV19" i="35"/>
  <c r="AV20" i="35"/>
  <c r="AV21" i="35"/>
  <c r="AV22" i="35"/>
  <c r="AV23" i="35"/>
  <c r="AV24" i="35"/>
  <c r="AV25" i="35"/>
  <c r="AV4" i="35"/>
  <c r="AW19" i="35"/>
  <c r="AW20" i="35"/>
  <c r="AW21" i="35"/>
  <c r="AW22" i="35"/>
  <c r="AW23" i="35"/>
  <c r="AW24" i="35"/>
  <c r="AW25" i="35"/>
  <c r="AW4" i="35"/>
  <c r="AX19" i="35"/>
  <c r="AX20" i="35"/>
  <c r="AX21" i="35"/>
  <c r="AX22" i="35"/>
  <c r="AX23" i="35"/>
  <c r="AX24" i="35"/>
  <c r="AX25" i="35"/>
  <c r="AX4" i="35"/>
  <c r="AY19" i="35"/>
  <c r="AY20" i="35"/>
  <c r="AY21" i="35"/>
  <c r="AY22" i="35"/>
  <c r="AY23" i="35"/>
  <c r="AY24" i="35"/>
  <c r="AY25" i="35"/>
  <c r="AY4" i="35"/>
  <c r="AZ19" i="35"/>
  <c r="AZ20" i="35"/>
  <c r="AZ21" i="35"/>
  <c r="AZ22" i="35"/>
  <c r="AZ23" i="35"/>
  <c r="AZ24" i="35"/>
  <c r="AZ25" i="35"/>
  <c r="AZ4" i="35"/>
  <c r="BA19" i="35"/>
  <c r="BA20" i="35"/>
  <c r="BA21" i="35"/>
  <c r="BA22" i="35"/>
  <c r="BA23" i="35"/>
  <c r="BA24" i="35"/>
  <c r="BA25" i="35"/>
  <c r="BA4" i="35"/>
  <c r="C4" i="35"/>
  <c r="C22" i="44"/>
  <c r="D24" i="48"/>
  <c r="C28" i="29"/>
  <c r="C29" i="29"/>
  <c r="D28" i="29"/>
  <c r="D30" i="29"/>
  <c r="D7" i="29"/>
  <c r="D10" i="29"/>
  <c r="D5" i="29"/>
  <c r="D18" i="29"/>
  <c r="D24" i="29"/>
  <c r="D17" i="29"/>
  <c r="D19" i="29"/>
  <c r="D25" i="29"/>
  <c r="D20" i="29"/>
  <c r="D26" i="29"/>
  <c r="D6" i="29"/>
  <c r="D4" i="29"/>
  <c r="E28" i="29"/>
  <c r="E30" i="29"/>
  <c r="E7" i="29"/>
  <c r="E10" i="29"/>
  <c r="E5" i="29"/>
  <c r="E18" i="29"/>
  <c r="E24" i="29"/>
  <c r="E17" i="29"/>
  <c r="E19" i="29"/>
  <c r="E25" i="29"/>
  <c r="E20" i="29"/>
  <c r="E26" i="29"/>
  <c r="E6" i="29"/>
  <c r="E4" i="29"/>
  <c r="F28" i="29"/>
  <c r="F30" i="29"/>
  <c r="F7" i="29"/>
  <c r="F10" i="29"/>
  <c r="F5" i="29"/>
  <c r="F18" i="29"/>
  <c r="F24" i="29"/>
  <c r="F17" i="29"/>
  <c r="F19" i="29"/>
  <c r="F25" i="29"/>
  <c r="F20" i="29"/>
  <c r="F26" i="29"/>
  <c r="F6" i="29"/>
  <c r="F4" i="29"/>
  <c r="G28" i="29"/>
  <c r="G30" i="29"/>
  <c r="G7" i="29"/>
  <c r="G10" i="29"/>
  <c r="G5" i="29"/>
  <c r="G18" i="29"/>
  <c r="G24" i="29"/>
  <c r="G17" i="29"/>
  <c r="G19" i="29"/>
  <c r="G25" i="29"/>
  <c r="G20" i="29"/>
  <c r="G26" i="29"/>
  <c r="G6" i="29"/>
  <c r="G4" i="29"/>
  <c r="H28" i="29"/>
  <c r="H30" i="29"/>
  <c r="H7" i="29"/>
  <c r="H10" i="29"/>
  <c r="H5" i="29"/>
  <c r="H18" i="29"/>
  <c r="H24" i="29"/>
  <c r="H17" i="29"/>
  <c r="H19" i="29"/>
  <c r="H25" i="29"/>
  <c r="H20" i="29"/>
  <c r="H26" i="29"/>
  <c r="H6" i="29"/>
  <c r="H4" i="29"/>
  <c r="I28" i="29"/>
  <c r="I30" i="29"/>
  <c r="I7" i="29"/>
  <c r="I10" i="29"/>
  <c r="I5" i="29"/>
  <c r="I18" i="29"/>
  <c r="I24" i="29"/>
  <c r="I17" i="29"/>
  <c r="I19" i="29"/>
  <c r="I25" i="29"/>
  <c r="I20" i="29"/>
  <c r="I26" i="29"/>
  <c r="I6" i="29"/>
  <c r="I4" i="29"/>
  <c r="J28" i="29"/>
  <c r="J30" i="29"/>
  <c r="J7" i="29"/>
  <c r="J10" i="29"/>
  <c r="J5" i="29"/>
  <c r="J18" i="29"/>
  <c r="J24" i="29"/>
  <c r="J17" i="29"/>
  <c r="J19" i="29"/>
  <c r="J25" i="29"/>
  <c r="J20" i="29"/>
  <c r="J26" i="29"/>
  <c r="J6" i="29"/>
  <c r="J4" i="29"/>
  <c r="K28" i="29"/>
  <c r="K30" i="29"/>
  <c r="K7" i="29"/>
  <c r="K10" i="29"/>
  <c r="K5" i="29"/>
  <c r="K18" i="29"/>
  <c r="K24" i="29"/>
  <c r="K17" i="29"/>
  <c r="K19" i="29"/>
  <c r="K25" i="29"/>
  <c r="K20" i="29"/>
  <c r="K26" i="29"/>
  <c r="K6" i="29"/>
  <c r="K4" i="29"/>
  <c r="L28" i="29"/>
  <c r="L30" i="29"/>
  <c r="L7" i="29"/>
  <c r="L10" i="29"/>
  <c r="L5" i="29"/>
  <c r="L18" i="29"/>
  <c r="L24" i="29"/>
  <c r="L17" i="29"/>
  <c r="L19" i="29"/>
  <c r="L25" i="29"/>
  <c r="L20" i="29"/>
  <c r="L26" i="29"/>
  <c r="L6" i="29"/>
  <c r="L4" i="29"/>
  <c r="M28" i="29"/>
  <c r="M30" i="29"/>
  <c r="M7" i="29"/>
  <c r="M10" i="29"/>
  <c r="M5" i="29"/>
  <c r="M18" i="29"/>
  <c r="M24" i="29"/>
  <c r="M17" i="29"/>
  <c r="M19" i="29"/>
  <c r="M25" i="29"/>
  <c r="M20" i="29"/>
  <c r="M26" i="29"/>
  <c r="M6" i="29"/>
  <c r="M4" i="29"/>
  <c r="N28" i="29"/>
  <c r="N30" i="29"/>
  <c r="N7" i="29"/>
  <c r="N10" i="29"/>
  <c r="N5" i="29"/>
  <c r="N18" i="29"/>
  <c r="N24" i="29"/>
  <c r="N17" i="29"/>
  <c r="N19" i="29"/>
  <c r="N25" i="29"/>
  <c r="N20" i="29"/>
  <c r="N26" i="29"/>
  <c r="N6" i="29"/>
  <c r="N4" i="29"/>
  <c r="O28" i="29"/>
  <c r="O30" i="29"/>
  <c r="O7" i="29"/>
  <c r="O10" i="29"/>
  <c r="O5" i="29"/>
  <c r="O18" i="29"/>
  <c r="O24" i="29"/>
  <c r="O17" i="29"/>
  <c r="O19" i="29"/>
  <c r="O25" i="29"/>
  <c r="O20" i="29"/>
  <c r="O26" i="29"/>
  <c r="O6" i="29"/>
  <c r="O4" i="29"/>
  <c r="P28" i="29"/>
  <c r="P30" i="29"/>
  <c r="P7" i="29"/>
  <c r="P10" i="29"/>
  <c r="P5" i="29"/>
  <c r="P18" i="29"/>
  <c r="P24" i="29"/>
  <c r="P17" i="29"/>
  <c r="P19" i="29"/>
  <c r="P25" i="29"/>
  <c r="P20" i="29"/>
  <c r="P26" i="29"/>
  <c r="P6" i="29"/>
  <c r="P4" i="29"/>
  <c r="Q28" i="29"/>
  <c r="Q30" i="29"/>
  <c r="Q7" i="29"/>
  <c r="Q10" i="29"/>
  <c r="Q5" i="29"/>
  <c r="Q18" i="29"/>
  <c r="Q24" i="29"/>
  <c r="Q17" i="29"/>
  <c r="Q19" i="29"/>
  <c r="Q25" i="29"/>
  <c r="Q20" i="29"/>
  <c r="Q26" i="29"/>
  <c r="Q6" i="29"/>
  <c r="Q4" i="29"/>
  <c r="R28" i="29"/>
  <c r="R30" i="29"/>
  <c r="R7" i="29"/>
  <c r="R10" i="29"/>
  <c r="R5" i="29"/>
  <c r="R18" i="29"/>
  <c r="R24" i="29"/>
  <c r="R17" i="29"/>
  <c r="R19" i="29"/>
  <c r="R25" i="29"/>
  <c r="R20" i="29"/>
  <c r="R26" i="29"/>
  <c r="R6" i="29"/>
  <c r="R4" i="29"/>
  <c r="S28" i="29"/>
  <c r="S30" i="29"/>
  <c r="S7" i="29"/>
  <c r="S10" i="29"/>
  <c r="S5" i="29"/>
  <c r="S18" i="29"/>
  <c r="S24" i="29"/>
  <c r="S17" i="29"/>
  <c r="S19" i="29"/>
  <c r="S25" i="29"/>
  <c r="S20" i="29"/>
  <c r="S26" i="29"/>
  <c r="S6" i="29"/>
  <c r="S4" i="29"/>
  <c r="T28" i="29"/>
  <c r="T30" i="29"/>
  <c r="T7" i="29"/>
  <c r="T10" i="29"/>
  <c r="T5" i="29"/>
  <c r="T18" i="29"/>
  <c r="T24" i="29"/>
  <c r="T17" i="29"/>
  <c r="T19" i="29"/>
  <c r="T25" i="29"/>
  <c r="T20" i="29"/>
  <c r="T26" i="29"/>
  <c r="T6" i="29"/>
  <c r="T4" i="29"/>
  <c r="U28" i="29"/>
  <c r="U30" i="29"/>
  <c r="U7" i="29"/>
  <c r="U10" i="29"/>
  <c r="U5" i="29"/>
  <c r="U18" i="29"/>
  <c r="U24" i="29"/>
  <c r="U17" i="29"/>
  <c r="U19" i="29"/>
  <c r="U25" i="29"/>
  <c r="U20" i="29"/>
  <c r="U26" i="29"/>
  <c r="U6" i="29"/>
  <c r="U4" i="29"/>
  <c r="V28" i="29"/>
  <c r="V30" i="29"/>
  <c r="V7" i="29"/>
  <c r="V10" i="29"/>
  <c r="V5" i="29"/>
  <c r="V18" i="29"/>
  <c r="V24" i="29"/>
  <c r="V17" i="29"/>
  <c r="V19" i="29"/>
  <c r="V25" i="29"/>
  <c r="V20" i="29"/>
  <c r="V26" i="29"/>
  <c r="V6" i="29"/>
  <c r="V4" i="29"/>
  <c r="W28" i="29"/>
  <c r="W30" i="29"/>
  <c r="W7" i="29"/>
  <c r="W10" i="29"/>
  <c r="W5" i="29"/>
  <c r="W18" i="29"/>
  <c r="W24" i="29"/>
  <c r="W17" i="29"/>
  <c r="W19" i="29"/>
  <c r="W25" i="29"/>
  <c r="W20" i="29"/>
  <c r="W26" i="29"/>
  <c r="W6" i="29"/>
  <c r="W4" i="29"/>
  <c r="X28" i="29"/>
  <c r="X30" i="29"/>
  <c r="X7" i="29"/>
  <c r="X10" i="29"/>
  <c r="X5" i="29"/>
  <c r="X18" i="29"/>
  <c r="X24" i="29"/>
  <c r="X17" i="29"/>
  <c r="X19" i="29"/>
  <c r="X25" i="29"/>
  <c r="X20" i="29"/>
  <c r="X26" i="29"/>
  <c r="X6" i="29"/>
  <c r="X4" i="29"/>
  <c r="Y28" i="29"/>
  <c r="Y30" i="29"/>
  <c r="Y7" i="29"/>
  <c r="Y10" i="29"/>
  <c r="Y5" i="29"/>
  <c r="Y18" i="29"/>
  <c r="Y24" i="29"/>
  <c r="Y17" i="29"/>
  <c r="Y19" i="29"/>
  <c r="Y25" i="29"/>
  <c r="Y20" i="29"/>
  <c r="Y26" i="29"/>
  <c r="Y6" i="29"/>
  <c r="Y4" i="29"/>
  <c r="Z28" i="29"/>
  <c r="Z30" i="29"/>
  <c r="Z7" i="29"/>
  <c r="Z10" i="29"/>
  <c r="Z5" i="29"/>
  <c r="Z18" i="29"/>
  <c r="Z24" i="29"/>
  <c r="Z17" i="29"/>
  <c r="Z19" i="29"/>
  <c r="Z25" i="29"/>
  <c r="Z20" i="29"/>
  <c r="Z26" i="29"/>
  <c r="Z6" i="29"/>
  <c r="Z4" i="29"/>
  <c r="AA28" i="29"/>
  <c r="AA30" i="29"/>
  <c r="AA7" i="29"/>
  <c r="AA10" i="29"/>
  <c r="AA5" i="29"/>
  <c r="AA18" i="29"/>
  <c r="AA24" i="29"/>
  <c r="AA17" i="29"/>
  <c r="AA19" i="29"/>
  <c r="AA25" i="29"/>
  <c r="AA20" i="29"/>
  <c r="AA26" i="29"/>
  <c r="AA6" i="29"/>
  <c r="AA4" i="29"/>
  <c r="AB28" i="29"/>
  <c r="AB30" i="29"/>
  <c r="AB7" i="29"/>
  <c r="AB10" i="29"/>
  <c r="AB5" i="29"/>
  <c r="AB18" i="29"/>
  <c r="AB24" i="29"/>
  <c r="AB17" i="29"/>
  <c r="AB19" i="29"/>
  <c r="AB25" i="29"/>
  <c r="AB20" i="29"/>
  <c r="AB26" i="29"/>
  <c r="AB6" i="29"/>
  <c r="AB4" i="29"/>
  <c r="AC28" i="29"/>
  <c r="AC30" i="29"/>
  <c r="AC7" i="29"/>
  <c r="AC10" i="29"/>
  <c r="AC5" i="29"/>
  <c r="AC18" i="29"/>
  <c r="AC24" i="29"/>
  <c r="AC17" i="29"/>
  <c r="AC19" i="29"/>
  <c r="AC25" i="29"/>
  <c r="AC20" i="29"/>
  <c r="AC26" i="29"/>
  <c r="AC6" i="29"/>
  <c r="AC4" i="29"/>
  <c r="AD28" i="29"/>
  <c r="AD30" i="29"/>
  <c r="AD7" i="29"/>
  <c r="AD10" i="29"/>
  <c r="AD5" i="29"/>
  <c r="AD18" i="29"/>
  <c r="AD24" i="29"/>
  <c r="AD17" i="29"/>
  <c r="AD19" i="29"/>
  <c r="AD25" i="29"/>
  <c r="AD20" i="29"/>
  <c r="AD26" i="29"/>
  <c r="AD6" i="29"/>
  <c r="AD4" i="29"/>
  <c r="AE28" i="29"/>
  <c r="AE30" i="29"/>
  <c r="AE7" i="29"/>
  <c r="AE10" i="29"/>
  <c r="AE5" i="29"/>
  <c r="AE18" i="29"/>
  <c r="AE24" i="29"/>
  <c r="AE17" i="29"/>
  <c r="AE19" i="29"/>
  <c r="AE25" i="29"/>
  <c r="AE20" i="29"/>
  <c r="AE26" i="29"/>
  <c r="AE6" i="29"/>
  <c r="AE4" i="29"/>
  <c r="AF28" i="29"/>
  <c r="AF30" i="29"/>
  <c r="AF7" i="29"/>
  <c r="AF10" i="29"/>
  <c r="AF5" i="29"/>
  <c r="AF18" i="29"/>
  <c r="AF24" i="29"/>
  <c r="AF17" i="29"/>
  <c r="AF19" i="29"/>
  <c r="AF25" i="29"/>
  <c r="AF20" i="29"/>
  <c r="AF26" i="29"/>
  <c r="AF6" i="29"/>
  <c r="AF4" i="29"/>
  <c r="AG28" i="29"/>
  <c r="AG30" i="29"/>
  <c r="AG7" i="29"/>
  <c r="AG10" i="29"/>
  <c r="AG5" i="29"/>
  <c r="AG18" i="29"/>
  <c r="AG24" i="29"/>
  <c r="AG17" i="29"/>
  <c r="AG19" i="29"/>
  <c r="AG25" i="29"/>
  <c r="AG20" i="29"/>
  <c r="AG26" i="29"/>
  <c r="AG6" i="29"/>
  <c r="AG4" i="29"/>
  <c r="AH28" i="29"/>
  <c r="AH30" i="29"/>
  <c r="AH7" i="29"/>
  <c r="AH10" i="29"/>
  <c r="AH5" i="29"/>
  <c r="AH18" i="29"/>
  <c r="AH24" i="29"/>
  <c r="AH17" i="29"/>
  <c r="AH19" i="29"/>
  <c r="AH25" i="29"/>
  <c r="AH20" i="29"/>
  <c r="AH26" i="29"/>
  <c r="AH6" i="29"/>
  <c r="AH4" i="29"/>
  <c r="AI28" i="29"/>
  <c r="AI30" i="29"/>
  <c r="AI7" i="29"/>
  <c r="AI10" i="29"/>
  <c r="AI5" i="29"/>
  <c r="AI18" i="29"/>
  <c r="AI24" i="29"/>
  <c r="AI17" i="29"/>
  <c r="AI19" i="29"/>
  <c r="AI25" i="29"/>
  <c r="AI20" i="29"/>
  <c r="AI26" i="29"/>
  <c r="AI6" i="29"/>
  <c r="AI4" i="29"/>
  <c r="AJ28" i="29"/>
  <c r="AJ30" i="29"/>
  <c r="AJ7" i="29"/>
  <c r="AJ10" i="29"/>
  <c r="AJ5" i="29"/>
  <c r="AJ18" i="29"/>
  <c r="AJ24" i="29"/>
  <c r="AJ17" i="29"/>
  <c r="AJ19" i="29"/>
  <c r="AJ25" i="29"/>
  <c r="AJ20" i="29"/>
  <c r="AJ26" i="29"/>
  <c r="AJ6" i="29"/>
  <c r="AJ4" i="29"/>
  <c r="AK28" i="29"/>
  <c r="AK30" i="29"/>
  <c r="AK7" i="29"/>
  <c r="AK10" i="29"/>
  <c r="AK5" i="29"/>
  <c r="AK18" i="29"/>
  <c r="AK24" i="29"/>
  <c r="AK17" i="29"/>
  <c r="AK19" i="29"/>
  <c r="AK25" i="29"/>
  <c r="AK20" i="29"/>
  <c r="AK26" i="29"/>
  <c r="AK6" i="29"/>
  <c r="AK4" i="29"/>
  <c r="AL28" i="29"/>
  <c r="AL30" i="29"/>
  <c r="AL7" i="29"/>
  <c r="AL10" i="29"/>
  <c r="AL5" i="29"/>
  <c r="AL18" i="29"/>
  <c r="AL24" i="29"/>
  <c r="AL17" i="29"/>
  <c r="AL19" i="29"/>
  <c r="AL25" i="29"/>
  <c r="AL20" i="29"/>
  <c r="AL26" i="29"/>
  <c r="AL6" i="29"/>
  <c r="AL4" i="29"/>
  <c r="AM28" i="29"/>
  <c r="AM30" i="29"/>
  <c r="AM7" i="29"/>
  <c r="AM10" i="29"/>
  <c r="AM5" i="29"/>
  <c r="AM18" i="29"/>
  <c r="AM24" i="29"/>
  <c r="AM17" i="29"/>
  <c r="AM19" i="29"/>
  <c r="AM25" i="29"/>
  <c r="AM20" i="29"/>
  <c r="AM26" i="29"/>
  <c r="AM6" i="29"/>
  <c r="AM4" i="29"/>
  <c r="AN28" i="29"/>
  <c r="AN30" i="29"/>
  <c r="AN7" i="29"/>
  <c r="AN10" i="29"/>
  <c r="AN5" i="29"/>
  <c r="AN18" i="29"/>
  <c r="AN24" i="29"/>
  <c r="AN17" i="29"/>
  <c r="AN19" i="29"/>
  <c r="AN25" i="29"/>
  <c r="AN20" i="29"/>
  <c r="AN26" i="29"/>
  <c r="AN6" i="29"/>
  <c r="AN4" i="29"/>
  <c r="AO28" i="29"/>
  <c r="AO30" i="29"/>
  <c r="AO7" i="29"/>
  <c r="AO10" i="29"/>
  <c r="AO5" i="29"/>
  <c r="AO18" i="29"/>
  <c r="AO24" i="29"/>
  <c r="AO17" i="29"/>
  <c r="AO19" i="29"/>
  <c r="AO25" i="29"/>
  <c r="AO20" i="29"/>
  <c r="AO26" i="29"/>
  <c r="AO6" i="29"/>
  <c r="AO4" i="29"/>
  <c r="AP28" i="29"/>
  <c r="AP30" i="29"/>
  <c r="AP7" i="29"/>
  <c r="AP10" i="29"/>
  <c r="AP5" i="29"/>
  <c r="AP18" i="29"/>
  <c r="AP24" i="29"/>
  <c r="AP17" i="29"/>
  <c r="AP19" i="29"/>
  <c r="AP25" i="29"/>
  <c r="AP20" i="29"/>
  <c r="AP26" i="29"/>
  <c r="AP6" i="29"/>
  <c r="AP4" i="29"/>
  <c r="AQ28" i="29"/>
  <c r="AQ30" i="29"/>
  <c r="AQ7" i="29"/>
  <c r="AQ10" i="29"/>
  <c r="AQ5" i="29"/>
  <c r="AQ18" i="29"/>
  <c r="AQ24" i="29"/>
  <c r="AQ17" i="29"/>
  <c r="AQ19" i="29"/>
  <c r="AQ25" i="29"/>
  <c r="AQ20" i="29"/>
  <c r="AQ26" i="29"/>
  <c r="AQ6" i="29"/>
  <c r="AQ4" i="29"/>
  <c r="AR28" i="29"/>
  <c r="AR30" i="29"/>
  <c r="AR7" i="29"/>
  <c r="AR10" i="29"/>
  <c r="AR5" i="29"/>
  <c r="AR18" i="29"/>
  <c r="AR24" i="29"/>
  <c r="AR17" i="29"/>
  <c r="AR19" i="29"/>
  <c r="AR25" i="29"/>
  <c r="AR20" i="29"/>
  <c r="AR26" i="29"/>
  <c r="AR6" i="29"/>
  <c r="AR4" i="29"/>
  <c r="AS28" i="29"/>
  <c r="AS30" i="29"/>
  <c r="AS7" i="29"/>
  <c r="AS10" i="29"/>
  <c r="AS5" i="29"/>
  <c r="AS18" i="29"/>
  <c r="AS24" i="29"/>
  <c r="AS17" i="29"/>
  <c r="AS19" i="29"/>
  <c r="AS25" i="29"/>
  <c r="AS20" i="29"/>
  <c r="AS26" i="29"/>
  <c r="AS6" i="29"/>
  <c r="AS4" i="29"/>
  <c r="AT28" i="29"/>
  <c r="AT30" i="29"/>
  <c r="AT7" i="29"/>
  <c r="AT10" i="29"/>
  <c r="AT5" i="29"/>
  <c r="AT18" i="29"/>
  <c r="AT24" i="29"/>
  <c r="AT17" i="29"/>
  <c r="AT19" i="29"/>
  <c r="AT25" i="29"/>
  <c r="AT20" i="29"/>
  <c r="AT26" i="29"/>
  <c r="AT6" i="29"/>
  <c r="AT4" i="29"/>
  <c r="AU28" i="29"/>
  <c r="AU30" i="29"/>
  <c r="AU7" i="29"/>
  <c r="AU10" i="29"/>
  <c r="AU5" i="29"/>
  <c r="AU18" i="29"/>
  <c r="AU24" i="29"/>
  <c r="AU17" i="29"/>
  <c r="AU19" i="29"/>
  <c r="AU25" i="29"/>
  <c r="AU20" i="29"/>
  <c r="AU26" i="29"/>
  <c r="AU6" i="29"/>
  <c r="AU4" i="29"/>
  <c r="AV28" i="29"/>
  <c r="AV30" i="29"/>
  <c r="AV7" i="29"/>
  <c r="AV10" i="29"/>
  <c r="AV5" i="29"/>
  <c r="AV18" i="29"/>
  <c r="AV24" i="29"/>
  <c r="AV17" i="29"/>
  <c r="AV19" i="29"/>
  <c r="AV25" i="29"/>
  <c r="AV20" i="29"/>
  <c r="AV26" i="29"/>
  <c r="AV6" i="29"/>
  <c r="AV4" i="29"/>
  <c r="AW28" i="29"/>
  <c r="AW30" i="29"/>
  <c r="AW7" i="29"/>
  <c r="AW10" i="29"/>
  <c r="AW5" i="29"/>
  <c r="AW18" i="29"/>
  <c r="AW24" i="29"/>
  <c r="AW17" i="29"/>
  <c r="AW19" i="29"/>
  <c r="AW25" i="29"/>
  <c r="AW20" i="29"/>
  <c r="AW26" i="29"/>
  <c r="AW6" i="29"/>
  <c r="AW4" i="29"/>
  <c r="AX28" i="29"/>
  <c r="AX30" i="29"/>
  <c r="AX7" i="29"/>
  <c r="AX10" i="29"/>
  <c r="AX5" i="29"/>
  <c r="AX18" i="29"/>
  <c r="AX24" i="29"/>
  <c r="AX17" i="29"/>
  <c r="AX19" i="29"/>
  <c r="AX25" i="29"/>
  <c r="AX20" i="29"/>
  <c r="AX26" i="29"/>
  <c r="AX6" i="29"/>
  <c r="AX4" i="29"/>
  <c r="AY28" i="29"/>
  <c r="AY30" i="29"/>
  <c r="AY7" i="29"/>
  <c r="AY10" i="29"/>
  <c r="AY5" i="29"/>
  <c r="AY18" i="29"/>
  <c r="AY24" i="29"/>
  <c r="AY17" i="29"/>
  <c r="AY19" i="29"/>
  <c r="AY25" i="29"/>
  <c r="AY20" i="29"/>
  <c r="AY26" i="29"/>
  <c r="AY6" i="29"/>
  <c r="AY4" i="29"/>
  <c r="AZ28" i="29"/>
  <c r="AZ30" i="29"/>
  <c r="AZ7" i="29"/>
  <c r="AZ10" i="29"/>
  <c r="AZ5" i="29"/>
  <c r="AZ18" i="29"/>
  <c r="AZ24" i="29"/>
  <c r="AZ17" i="29"/>
  <c r="AZ19" i="29"/>
  <c r="AZ25" i="29"/>
  <c r="AZ20" i="29"/>
  <c r="AZ26" i="29"/>
  <c r="AZ6" i="29"/>
  <c r="AZ4" i="29"/>
  <c r="BA28" i="29"/>
  <c r="BA30" i="29"/>
  <c r="BA7" i="29"/>
  <c r="BA10" i="29"/>
  <c r="BA5" i="29"/>
  <c r="BA18" i="29"/>
  <c r="BA24" i="29"/>
  <c r="BA17" i="29"/>
  <c r="BA19" i="29"/>
  <c r="BA25" i="29"/>
  <c r="BA20" i="29"/>
  <c r="BA26" i="29"/>
  <c r="BA6" i="29"/>
  <c r="BA4" i="29"/>
  <c r="C4" i="29"/>
  <c r="C23" i="44"/>
  <c r="D25" i="48"/>
  <c r="E7" i="16"/>
  <c r="E4" i="16"/>
  <c r="F7" i="16"/>
  <c r="F4" i="16"/>
  <c r="G7" i="16"/>
  <c r="G4" i="16"/>
  <c r="H7" i="16"/>
  <c r="H4" i="16"/>
  <c r="I7" i="16"/>
  <c r="I4" i="16"/>
  <c r="J7" i="16"/>
  <c r="J4" i="16"/>
  <c r="K7" i="16"/>
  <c r="K4" i="16"/>
  <c r="L7" i="16"/>
  <c r="L4" i="16"/>
  <c r="M7" i="16"/>
  <c r="M4" i="16"/>
  <c r="N7" i="16"/>
  <c r="N4" i="16"/>
  <c r="O7" i="16"/>
  <c r="O4" i="16"/>
  <c r="P7" i="16"/>
  <c r="P4" i="16"/>
  <c r="Q7" i="16"/>
  <c r="Q4" i="16"/>
  <c r="R7" i="16"/>
  <c r="R4" i="16"/>
  <c r="S7" i="16"/>
  <c r="S4" i="16"/>
  <c r="T7" i="16"/>
  <c r="T4" i="16"/>
  <c r="U7" i="16"/>
  <c r="U4" i="16"/>
  <c r="V7" i="16"/>
  <c r="V4" i="16"/>
  <c r="W7" i="16"/>
  <c r="W4" i="16"/>
  <c r="X7" i="16"/>
  <c r="X4" i="16"/>
  <c r="Y7" i="16"/>
  <c r="Y4" i="16"/>
  <c r="Z7" i="16"/>
  <c r="Z4" i="16"/>
  <c r="AA7" i="16"/>
  <c r="AA4" i="16"/>
  <c r="AB7" i="16"/>
  <c r="AB4" i="16"/>
  <c r="AC7" i="16"/>
  <c r="AC4" i="16"/>
  <c r="AD7" i="16"/>
  <c r="AD4" i="16"/>
  <c r="AE7" i="16"/>
  <c r="AE4" i="16"/>
  <c r="AF7" i="16"/>
  <c r="AF4" i="16"/>
  <c r="AG7" i="16"/>
  <c r="AG4" i="16"/>
  <c r="AH7" i="16"/>
  <c r="AH4" i="16"/>
  <c r="AI7" i="16"/>
  <c r="AI4" i="16"/>
  <c r="AJ7" i="16"/>
  <c r="AJ4" i="16"/>
  <c r="AK7" i="16"/>
  <c r="AK4" i="16"/>
  <c r="AL7" i="16"/>
  <c r="AL4" i="16"/>
  <c r="AM7" i="16"/>
  <c r="AM4" i="16"/>
  <c r="AN7" i="16"/>
  <c r="AN4" i="16"/>
  <c r="AO7" i="16"/>
  <c r="AO4" i="16"/>
  <c r="AP7" i="16"/>
  <c r="AP4" i="16"/>
  <c r="AQ7" i="16"/>
  <c r="AQ4" i="16"/>
  <c r="AR7" i="16"/>
  <c r="AR4" i="16"/>
  <c r="AS7" i="16"/>
  <c r="AS4" i="16"/>
  <c r="AT7" i="16"/>
  <c r="AT4" i="16"/>
  <c r="AU7" i="16"/>
  <c r="AU4" i="16"/>
  <c r="AV7" i="16"/>
  <c r="AV4" i="16"/>
  <c r="AW7" i="16"/>
  <c r="AW4" i="16"/>
  <c r="AX7" i="16"/>
  <c r="AX4" i="16"/>
  <c r="AY7" i="16"/>
  <c r="AY4" i="16"/>
  <c r="AZ7" i="16"/>
  <c r="AZ4" i="16"/>
  <c r="BA7" i="16"/>
  <c r="BA4" i="16"/>
  <c r="BB7" i="16"/>
  <c r="BB4" i="16"/>
  <c r="D4" i="16"/>
  <c r="C26" i="44"/>
  <c r="D28" i="48"/>
  <c r="C7" i="17"/>
  <c r="E10" i="17"/>
  <c r="E4" i="17"/>
  <c r="F10" i="17"/>
  <c r="F4" i="17"/>
  <c r="G10" i="17"/>
  <c r="G4" i="17"/>
  <c r="H10" i="17"/>
  <c r="H4" i="17"/>
  <c r="I10" i="17"/>
  <c r="I4" i="17"/>
  <c r="J10" i="17"/>
  <c r="J4" i="17"/>
  <c r="K10" i="17"/>
  <c r="K4" i="17"/>
  <c r="L10" i="17"/>
  <c r="L4" i="17"/>
  <c r="M10" i="17"/>
  <c r="M4" i="17"/>
  <c r="N10" i="17"/>
  <c r="N4" i="17"/>
  <c r="O10" i="17"/>
  <c r="O4" i="17"/>
  <c r="P10" i="17"/>
  <c r="P4" i="17"/>
  <c r="Q10" i="17"/>
  <c r="Q4" i="17"/>
  <c r="R10" i="17"/>
  <c r="R4" i="17"/>
  <c r="S10" i="17"/>
  <c r="S4" i="17"/>
  <c r="T10" i="17"/>
  <c r="T4" i="17"/>
  <c r="U10" i="17"/>
  <c r="U4" i="17"/>
  <c r="V10" i="17"/>
  <c r="V4" i="17"/>
  <c r="W10" i="17"/>
  <c r="W4" i="17"/>
  <c r="X10" i="17"/>
  <c r="X4" i="17"/>
  <c r="Y10" i="17"/>
  <c r="Y4" i="17"/>
  <c r="Z10" i="17"/>
  <c r="Z4" i="17"/>
  <c r="AA10" i="17"/>
  <c r="AA4" i="17"/>
  <c r="AB10" i="17"/>
  <c r="AB4" i="17"/>
  <c r="AC10" i="17"/>
  <c r="AC4" i="17"/>
  <c r="AD10" i="17"/>
  <c r="AD4" i="17"/>
  <c r="AE10" i="17"/>
  <c r="AE4" i="17"/>
  <c r="AF10" i="17"/>
  <c r="AF4" i="17"/>
  <c r="AG10" i="17"/>
  <c r="AG4" i="17"/>
  <c r="AH10" i="17"/>
  <c r="AH4" i="17"/>
  <c r="AI10" i="17"/>
  <c r="AI4" i="17"/>
  <c r="AJ10" i="17"/>
  <c r="AJ4" i="17"/>
  <c r="AK10" i="17"/>
  <c r="AK4" i="17"/>
  <c r="AL10" i="17"/>
  <c r="AL4" i="17"/>
  <c r="AM10" i="17"/>
  <c r="AM4" i="17"/>
  <c r="AN10" i="17"/>
  <c r="AN4" i="17"/>
  <c r="AO10" i="17"/>
  <c r="AO4" i="17"/>
  <c r="AP10" i="17"/>
  <c r="AP4" i="17"/>
  <c r="AQ10" i="17"/>
  <c r="AQ4" i="17"/>
  <c r="AR10" i="17"/>
  <c r="AR4" i="17"/>
  <c r="AS10" i="17"/>
  <c r="AS4" i="17"/>
  <c r="AT10" i="17"/>
  <c r="AT4" i="17"/>
  <c r="AU10" i="17"/>
  <c r="AU4" i="17"/>
  <c r="AV10" i="17"/>
  <c r="AV4" i="17"/>
  <c r="AW10" i="17"/>
  <c r="AW4" i="17"/>
  <c r="AX10" i="17"/>
  <c r="AX4" i="17"/>
  <c r="AY10" i="17"/>
  <c r="AY4" i="17"/>
  <c r="AZ10" i="17"/>
  <c r="AZ4" i="17"/>
  <c r="BA10" i="17"/>
  <c r="BA4" i="17"/>
  <c r="BB10" i="17"/>
  <c r="BB4" i="17"/>
  <c r="D4" i="17"/>
  <c r="C27" i="44"/>
  <c r="D29" i="48"/>
  <c r="D7" i="27"/>
  <c r="D12" i="27"/>
  <c r="D16" i="27"/>
  <c r="D4" i="27"/>
  <c r="E7" i="27"/>
  <c r="E12" i="27"/>
  <c r="E16" i="27"/>
  <c r="E4" i="27"/>
  <c r="F7" i="27"/>
  <c r="F12" i="27"/>
  <c r="F16" i="27"/>
  <c r="F4" i="27"/>
  <c r="G7" i="27"/>
  <c r="G12" i="27"/>
  <c r="G16" i="27"/>
  <c r="G4" i="27"/>
  <c r="H7" i="27"/>
  <c r="H12" i="27"/>
  <c r="H16" i="27"/>
  <c r="H4" i="27"/>
  <c r="I7" i="27"/>
  <c r="I12" i="27"/>
  <c r="I16" i="27"/>
  <c r="I4" i="27"/>
  <c r="J7" i="27"/>
  <c r="J12" i="27"/>
  <c r="J16" i="27"/>
  <c r="J4" i="27"/>
  <c r="K7" i="27"/>
  <c r="K12" i="27"/>
  <c r="K16" i="27"/>
  <c r="K4" i="27"/>
  <c r="L7" i="27"/>
  <c r="L12" i="27"/>
  <c r="L16" i="27"/>
  <c r="L4" i="27"/>
  <c r="M7" i="27"/>
  <c r="M12" i="27"/>
  <c r="M16" i="27"/>
  <c r="M4" i="27"/>
  <c r="N7" i="27"/>
  <c r="N12" i="27"/>
  <c r="N16" i="27"/>
  <c r="N4" i="27"/>
  <c r="O7" i="27"/>
  <c r="O12" i="27"/>
  <c r="O16" i="27"/>
  <c r="O4" i="27"/>
  <c r="P7" i="27"/>
  <c r="P12" i="27"/>
  <c r="P16" i="27"/>
  <c r="P4" i="27"/>
  <c r="Q7" i="27"/>
  <c r="Q12" i="27"/>
  <c r="Q16" i="27"/>
  <c r="Q4" i="27"/>
  <c r="R7" i="27"/>
  <c r="R12" i="27"/>
  <c r="R16" i="27"/>
  <c r="R4" i="27"/>
  <c r="S7" i="27"/>
  <c r="S12" i="27"/>
  <c r="S16" i="27"/>
  <c r="S4" i="27"/>
  <c r="T7" i="27"/>
  <c r="T12" i="27"/>
  <c r="T16" i="27"/>
  <c r="T4" i="27"/>
  <c r="U7" i="27"/>
  <c r="U12" i="27"/>
  <c r="U16" i="27"/>
  <c r="U4" i="27"/>
  <c r="V7" i="27"/>
  <c r="V12" i="27"/>
  <c r="V16" i="27"/>
  <c r="V4" i="27"/>
  <c r="W7" i="27"/>
  <c r="W12" i="27"/>
  <c r="W16" i="27"/>
  <c r="W4" i="27"/>
  <c r="X7" i="27"/>
  <c r="X12" i="27"/>
  <c r="X16" i="27"/>
  <c r="X4" i="27"/>
  <c r="Y7" i="27"/>
  <c r="Y12" i="27"/>
  <c r="Y16" i="27"/>
  <c r="Y4" i="27"/>
  <c r="Z7" i="27"/>
  <c r="Z12" i="27"/>
  <c r="Z16" i="27"/>
  <c r="Z4" i="27"/>
  <c r="AA7" i="27"/>
  <c r="AA12" i="27"/>
  <c r="AA16" i="27"/>
  <c r="AA4" i="27"/>
  <c r="AB7" i="27"/>
  <c r="AB12" i="27"/>
  <c r="AB16" i="27"/>
  <c r="AB4" i="27"/>
  <c r="AC7" i="27"/>
  <c r="AC12" i="27"/>
  <c r="AC16" i="27"/>
  <c r="AC4" i="27"/>
  <c r="AD7" i="27"/>
  <c r="AD12" i="27"/>
  <c r="AD16" i="27"/>
  <c r="AD4" i="27"/>
  <c r="AE7" i="27"/>
  <c r="AE12" i="27"/>
  <c r="AE16" i="27"/>
  <c r="AE4" i="27"/>
  <c r="AF7" i="27"/>
  <c r="AF12" i="27"/>
  <c r="AF16" i="27"/>
  <c r="AF4" i="27"/>
  <c r="AG7" i="27"/>
  <c r="AG12" i="27"/>
  <c r="AG16" i="27"/>
  <c r="AG4" i="27"/>
  <c r="AH7" i="27"/>
  <c r="AH12" i="27"/>
  <c r="AH16" i="27"/>
  <c r="AH4" i="27"/>
  <c r="AI7" i="27"/>
  <c r="AI12" i="27"/>
  <c r="AI16" i="27"/>
  <c r="AI4" i="27"/>
  <c r="AJ7" i="27"/>
  <c r="AJ12" i="27"/>
  <c r="AJ16" i="27"/>
  <c r="AJ4" i="27"/>
  <c r="AK7" i="27"/>
  <c r="AK12" i="27"/>
  <c r="AK16" i="27"/>
  <c r="AK4" i="27"/>
  <c r="AL7" i="27"/>
  <c r="AL12" i="27"/>
  <c r="AL16" i="27"/>
  <c r="AL4" i="27"/>
  <c r="AM7" i="27"/>
  <c r="AM12" i="27"/>
  <c r="AM16" i="27"/>
  <c r="AM4" i="27"/>
  <c r="AN7" i="27"/>
  <c r="AN12" i="27"/>
  <c r="AN16" i="27"/>
  <c r="AN4" i="27"/>
  <c r="AO7" i="27"/>
  <c r="AO12" i="27"/>
  <c r="AO16" i="27"/>
  <c r="AO4" i="27"/>
  <c r="AP7" i="27"/>
  <c r="AP12" i="27"/>
  <c r="AP16" i="27"/>
  <c r="AP4" i="27"/>
  <c r="AQ7" i="27"/>
  <c r="AQ12" i="27"/>
  <c r="AQ16" i="27"/>
  <c r="AQ4" i="27"/>
  <c r="AR7" i="27"/>
  <c r="AR12" i="27"/>
  <c r="AR16" i="27"/>
  <c r="AR4" i="27"/>
  <c r="AS7" i="27"/>
  <c r="AS12" i="27"/>
  <c r="AS16" i="27"/>
  <c r="AS4" i="27"/>
  <c r="AT7" i="27"/>
  <c r="AT12" i="27"/>
  <c r="AT16" i="27"/>
  <c r="AT4" i="27"/>
  <c r="AU7" i="27"/>
  <c r="AU12" i="27"/>
  <c r="AU16" i="27"/>
  <c r="AU4" i="27"/>
  <c r="AV7" i="27"/>
  <c r="AV12" i="27"/>
  <c r="AV16" i="27"/>
  <c r="AV4" i="27"/>
  <c r="AW7" i="27"/>
  <c r="AW12" i="27"/>
  <c r="AW16" i="27"/>
  <c r="AW4" i="27"/>
  <c r="AX7" i="27"/>
  <c r="AX12" i="27"/>
  <c r="AX16" i="27"/>
  <c r="AX4" i="27"/>
  <c r="AY7" i="27"/>
  <c r="AY12" i="27"/>
  <c r="AY16" i="27"/>
  <c r="AY4" i="27"/>
  <c r="AZ7" i="27"/>
  <c r="AZ12" i="27"/>
  <c r="AZ16" i="27"/>
  <c r="AZ4" i="27"/>
  <c r="BA7" i="27"/>
  <c r="BA12" i="27"/>
  <c r="BA16" i="27"/>
  <c r="BA4" i="27"/>
  <c r="C4" i="27"/>
  <c r="C29" i="44"/>
  <c r="D31" i="48"/>
  <c r="D6" i="48"/>
  <c r="C2" i="46"/>
  <c r="D2" i="46"/>
  <c r="E2" i="46"/>
  <c r="D5" i="49"/>
  <c r="E36" i="48"/>
  <c r="E34" i="48"/>
  <c r="E38" i="48"/>
  <c r="F36" i="48"/>
  <c r="F34" i="48"/>
  <c r="F38" i="48"/>
  <c r="G36" i="48"/>
  <c r="G34" i="48"/>
  <c r="G38" i="48"/>
  <c r="H36" i="48"/>
  <c r="H34" i="48"/>
  <c r="H38" i="48"/>
  <c r="I36" i="48"/>
  <c r="I34" i="48"/>
  <c r="I38" i="48"/>
  <c r="J36" i="48"/>
  <c r="J34" i="48"/>
  <c r="J38" i="48"/>
  <c r="K36" i="48"/>
  <c r="K34" i="48"/>
  <c r="K38" i="48"/>
  <c r="L36" i="48"/>
  <c r="L34" i="48"/>
  <c r="L38" i="48"/>
  <c r="M36" i="48"/>
  <c r="M34" i="48"/>
  <c r="M38" i="48"/>
  <c r="N36" i="48"/>
  <c r="N34" i="48"/>
  <c r="N38" i="48"/>
  <c r="O36" i="48"/>
  <c r="O34" i="48"/>
  <c r="O38" i="48"/>
  <c r="P36" i="48"/>
  <c r="P34" i="48"/>
  <c r="P38" i="48"/>
  <c r="Q36" i="48"/>
  <c r="Q34" i="48"/>
  <c r="Q38" i="48"/>
  <c r="R36" i="48"/>
  <c r="R34" i="48"/>
  <c r="R38" i="48"/>
  <c r="S36" i="48"/>
  <c r="S34" i="48"/>
  <c r="S38" i="48"/>
  <c r="T36" i="48"/>
  <c r="T34" i="48"/>
  <c r="T38" i="48"/>
  <c r="U36" i="48"/>
  <c r="U34" i="48"/>
  <c r="U38" i="48"/>
  <c r="V36" i="48"/>
  <c r="V34" i="48"/>
  <c r="V38" i="48"/>
  <c r="W36" i="48"/>
  <c r="W34" i="48"/>
  <c r="W38" i="48"/>
  <c r="X36" i="48"/>
  <c r="X34" i="48"/>
  <c r="X38" i="48"/>
  <c r="Y36" i="48"/>
  <c r="Y34" i="48"/>
  <c r="Y38" i="48"/>
  <c r="Z36" i="48"/>
  <c r="Z34" i="48"/>
  <c r="Z38" i="48"/>
  <c r="AA36" i="48"/>
  <c r="AA34" i="48"/>
  <c r="AA38" i="48"/>
  <c r="AB36" i="48"/>
  <c r="AB34" i="48"/>
  <c r="AB38" i="48"/>
  <c r="AC36" i="48"/>
  <c r="AC34" i="48"/>
  <c r="AC38" i="48"/>
  <c r="AD36" i="48"/>
  <c r="AD34" i="48"/>
  <c r="AD38" i="48"/>
  <c r="AE36" i="48"/>
  <c r="AE34" i="48"/>
  <c r="AE38" i="48"/>
  <c r="AF36" i="48"/>
  <c r="AF34" i="48"/>
  <c r="AF38" i="48"/>
  <c r="AG36" i="48"/>
  <c r="AG34" i="48"/>
  <c r="AG38" i="48"/>
  <c r="AH36" i="48"/>
  <c r="AH34" i="48"/>
  <c r="AH38" i="48"/>
  <c r="AI36" i="48"/>
  <c r="AI34" i="48"/>
  <c r="AI38" i="48"/>
  <c r="AJ36" i="48"/>
  <c r="AJ34" i="48"/>
  <c r="AJ38" i="48"/>
  <c r="AK36" i="48"/>
  <c r="AK34" i="48"/>
  <c r="AK38" i="48"/>
  <c r="AL36" i="48"/>
  <c r="AL34" i="48"/>
  <c r="AL38" i="48"/>
  <c r="AM36" i="48"/>
  <c r="AM34" i="48"/>
  <c r="AM38" i="48"/>
  <c r="AN36" i="48"/>
  <c r="AN34" i="48"/>
  <c r="AN38" i="48"/>
  <c r="AO36" i="48"/>
  <c r="AO34" i="48"/>
  <c r="AO38" i="48"/>
  <c r="AP36" i="48"/>
  <c r="AP34" i="48"/>
  <c r="AP38" i="48"/>
  <c r="AQ36" i="48"/>
  <c r="AQ34" i="48"/>
  <c r="AQ38" i="48"/>
  <c r="AR36" i="48"/>
  <c r="AR34" i="48"/>
  <c r="AR38" i="48"/>
  <c r="AS36" i="48"/>
  <c r="AS34" i="48"/>
  <c r="AS38" i="48"/>
  <c r="AT36" i="48"/>
  <c r="AT34" i="48"/>
  <c r="AT38" i="48"/>
  <c r="AU36" i="48"/>
  <c r="AU34" i="48"/>
  <c r="AU38" i="48"/>
  <c r="AV36" i="48"/>
  <c r="AV34" i="48"/>
  <c r="AV38" i="48"/>
  <c r="AW36" i="48"/>
  <c r="AW34" i="48"/>
  <c r="AW38" i="48"/>
  <c r="AX36" i="48"/>
  <c r="AX34" i="48"/>
  <c r="AX38" i="48"/>
  <c r="AY36" i="48"/>
  <c r="AY34" i="48"/>
  <c r="AY38" i="48"/>
  <c r="AZ36" i="48"/>
  <c r="AZ34" i="48"/>
  <c r="AZ38" i="48"/>
  <c r="BA36" i="48"/>
  <c r="BA34" i="48"/>
  <c r="BA38" i="48"/>
  <c r="BB36" i="48"/>
  <c r="BB34" i="48"/>
  <c r="BB38" i="48"/>
  <c r="E39" i="48"/>
  <c r="BB48" i="48"/>
  <c r="BA48" i="48"/>
  <c r="AZ48" i="48"/>
  <c r="AY48" i="48"/>
  <c r="AX48" i="48"/>
  <c r="AW48" i="48"/>
  <c r="AV48" i="48"/>
  <c r="AU48" i="48"/>
  <c r="AT48" i="48"/>
  <c r="AS48" i="48"/>
  <c r="AR48" i="48"/>
  <c r="AQ48" i="48"/>
  <c r="AP48" i="48"/>
  <c r="AO48" i="48"/>
  <c r="AN48" i="48"/>
  <c r="AM48" i="48"/>
  <c r="AL48" i="48"/>
  <c r="AK48" i="48"/>
  <c r="AJ48" i="48"/>
  <c r="AI48" i="48"/>
  <c r="AH48" i="48"/>
  <c r="AG48" i="48"/>
  <c r="AF48" i="48"/>
  <c r="AE48" i="48"/>
  <c r="AD48" i="48"/>
  <c r="AC48" i="48"/>
  <c r="AB48" i="48"/>
  <c r="AA48" i="48"/>
  <c r="Z48" i="48"/>
  <c r="Y48" i="48"/>
  <c r="X48" i="48"/>
  <c r="W48" i="48"/>
  <c r="V48" i="48"/>
  <c r="U48" i="48"/>
  <c r="T48" i="48"/>
  <c r="S48" i="48"/>
  <c r="R48" i="48"/>
  <c r="Q48" i="48"/>
  <c r="P48" i="48"/>
  <c r="O48" i="48"/>
  <c r="N48" i="48"/>
  <c r="M48" i="48"/>
  <c r="L48" i="48"/>
  <c r="K48" i="48"/>
  <c r="J48" i="48"/>
  <c r="I48" i="48"/>
  <c r="H48" i="48"/>
  <c r="G48" i="48"/>
  <c r="F48" i="48"/>
  <c r="E48" i="48"/>
  <c r="D48" i="48"/>
  <c r="BB47" i="48"/>
  <c r="BA47" i="48"/>
  <c r="AZ47" i="48"/>
  <c r="AY47" i="48"/>
  <c r="AX47" i="48"/>
  <c r="AW47" i="48"/>
  <c r="AV47" i="48"/>
  <c r="AU47" i="48"/>
  <c r="AT47" i="48"/>
  <c r="AS47" i="48"/>
  <c r="AR47" i="48"/>
  <c r="AQ47" i="48"/>
  <c r="AP47" i="48"/>
  <c r="AO47" i="48"/>
  <c r="AN47" i="48"/>
  <c r="AM47" i="48"/>
  <c r="AL47" i="48"/>
  <c r="AK47" i="48"/>
  <c r="AJ47" i="48"/>
  <c r="AI47" i="48"/>
  <c r="AH47" i="48"/>
  <c r="AG47" i="48"/>
  <c r="AF47" i="48"/>
  <c r="AE47" i="48"/>
  <c r="AD47" i="48"/>
  <c r="AC47" i="48"/>
  <c r="AB47" i="48"/>
  <c r="AA47" i="48"/>
  <c r="Z47" i="48"/>
  <c r="Y47" i="48"/>
  <c r="X47" i="48"/>
  <c r="W47" i="48"/>
  <c r="V47" i="48"/>
  <c r="U47" i="48"/>
  <c r="T47" i="48"/>
  <c r="S47" i="48"/>
  <c r="R47" i="48"/>
  <c r="Q47" i="48"/>
  <c r="P47" i="48"/>
  <c r="O47" i="48"/>
  <c r="N47" i="48"/>
  <c r="M47" i="48"/>
  <c r="L47" i="48"/>
  <c r="K47" i="48"/>
  <c r="J47" i="48"/>
  <c r="I47" i="48"/>
  <c r="H47" i="48"/>
  <c r="G47" i="48"/>
  <c r="F47" i="48"/>
  <c r="E47" i="48"/>
  <c r="D47" i="48"/>
  <c r="BB46" i="48"/>
  <c r="BA46" i="48"/>
  <c r="AZ46" i="48"/>
  <c r="AY46" i="48"/>
  <c r="AX46" i="48"/>
  <c r="AW46" i="48"/>
  <c r="AV46" i="48"/>
  <c r="AU46" i="48"/>
  <c r="AT46" i="48"/>
  <c r="AS46" i="48"/>
  <c r="AR46" i="48"/>
  <c r="AQ46" i="48"/>
  <c r="AP46" i="48"/>
  <c r="AO46" i="48"/>
  <c r="AN46" i="48"/>
  <c r="AM46" i="48"/>
  <c r="AL46" i="48"/>
  <c r="AK46" i="48"/>
  <c r="AJ46" i="48"/>
  <c r="AI46" i="48"/>
  <c r="AH46" i="48"/>
  <c r="AG46" i="48"/>
  <c r="AF46" i="48"/>
  <c r="AE46" i="48"/>
  <c r="AD46" i="48"/>
  <c r="AC46" i="48"/>
  <c r="AB46" i="48"/>
  <c r="AA46" i="48"/>
  <c r="Z46" i="48"/>
  <c r="Y46" i="48"/>
  <c r="X46" i="48"/>
  <c r="W46" i="48"/>
  <c r="V46" i="48"/>
  <c r="U46" i="48"/>
  <c r="T46" i="48"/>
  <c r="S46" i="48"/>
  <c r="R46" i="48"/>
  <c r="Q46" i="48"/>
  <c r="P46" i="48"/>
  <c r="O46" i="48"/>
  <c r="N46" i="48"/>
  <c r="M46" i="48"/>
  <c r="L46" i="48"/>
  <c r="K46" i="48"/>
  <c r="J46" i="48"/>
  <c r="I46" i="48"/>
  <c r="H46" i="48"/>
  <c r="G46" i="48"/>
  <c r="F46" i="48"/>
  <c r="E46" i="48"/>
  <c r="D46" i="48"/>
  <c r="BB21" i="48"/>
  <c r="BB43" i="48"/>
  <c r="BA21" i="48"/>
  <c r="BA43" i="48"/>
  <c r="AZ21" i="48"/>
  <c r="AZ43" i="48"/>
  <c r="AY21" i="48"/>
  <c r="AY43" i="48"/>
  <c r="AX21" i="48"/>
  <c r="AX43" i="48"/>
  <c r="AW21" i="48"/>
  <c r="AW43" i="48"/>
  <c r="AV21" i="48"/>
  <c r="AV43" i="48"/>
  <c r="AU21" i="48"/>
  <c r="AU43" i="48"/>
  <c r="AT21" i="48"/>
  <c r="AT43" i="48"/>
  <c r="AS21" i="48"/>
  <c r="AS43" i="48"/>
  <c r="AR21" i="48"/>
  <c r="AR43" i="48"/>
  <c r="AQ21" i="48"/>
  <c r="AQ43" i="48"/>
  <c r="AP21" i="48"/>
  <c r="AP43" i="48"/>
  <c r="AO21" i="48"/>
  <c r="AO43" i="48"/>
  <c r="AN21" i="48"/>
  <c r="AN43" i="48"/>
  <c r="AM21" i="48"/>
  <c r="AM43" i="48"/>
  <c r="AL21" i="48"/>
  <c r="AL43" i="48"/>
  <c r="AK21" i="48"/>
  <c r="AK43" i="48"/>
  <c r="AJ21" i="48"/>
  <c r="AJ43" i="48"/>
  <c r="AI21" i="48"/>
  <c r="AI43" i="48"/>
  <c r="AH21" i="48"/>
  <c r="AH43" i="48"/>
  <c r="AG21" i="48"/>
  <c r="AG43" i="48"/>
  <c r="AF21" i="48"/>
  <c r="AF43" i="48"/>
  <c r="AE21" i="48"/>
  <c r="AE43" i="48"/>
  <c r="AD21" i="48"/>
  <c r="AD43" i="48"/>
  <c r="AC21" i="48"/>
  <c r="AC43" i="48"/>
  <c r="AB21" i="48"/>
  <c r="AB43" i="48"/>
  <c r="AA21" i="48"/>
  <c r="AA43" i="48"/>
  <c r="Z21" i="48"/>
  <c r="Z43" i="48"/>
  <c r="Y21" i="48"/>
  <c r="Y43" i="48"/>
  <c r="X21" i="48"/>
  <c r="X43" i="48"/>
  <c r="W21" i="48"/>
  <c r="W43" i="48"/>
  <c r="V21" i="48"/>
  <c r="V43" i="48"/>
  <c r="U21" i="48"/>
  <c r="U43" i="48"/>
  <c r="T21" i="48"/>
  <c r="T43" i="48"/>
  <c r="S21" i="48"/>
  <c r="S43" i="48"/>
  <c r="R21" i="48"/>
  <c r="R43" i="48"/>
  <c r="Q21" i="48"/>
  <c r="Q43" i="48"/>
  <c r="P21" i="48"/>
  <c r="P43" i="48"/>
  <c r="O21" i="48"/>
  <c r="O43" i="48"/>
  <c r="N21" i="48"/>
  <c r="N43" i="48"/>
  <c r="M21" i="48"/>
  <c r="M43" i="48"/>
  <c r="L21" i="48"/>
  <c r="L43" i="48"/>
  <c r="K21" i="48"/>
  <c r="K43" i="48"/>
  <c r="J21" i="48"/>
  <c r="J43" i="48"/>
  <c r="I21" i="48"/>
  <c r="I43" i="48"/>
  <c r="H21" i="48"/>
  <c r="H43" i="48"/>
  <c r="G21" i="48"/>
  <c r="G43" i="48"/>
  <c r="F21" i="48"/>
  <c r="F43" i="48"/>
  <c r="E21" i="48"/>
  <c r="E43" i="48"/>
  <c r="BA20" i="44"/>
  <c r="BB22" i="48"/>
  <c r="BA21" i="44"/>
  <c r="BB23" i="48"/>
  <c r="BA22" i="44"/>
  <c r="BB24" i="48"/>
  <c r="BA23" i="44"/>
  <c r="BB25" i="48"/>
  <c r="BA24" i="44"/>
  <c r="BB26" i="48"/>
  <c r="BA25" i="44"/>
  <c r="BB27" i="48"/>
  <c r="BA26" i="44"/>
  <c r="BB28" i="48"/>
  <c r="BA27" i="44"/>
  <c r="BB29" i="48"/>
  <c r="BA28" i="44"/>
  <c r="BB30" i="48"/>
  <c r="BA29" i="44"/>
  <c r="BB31" i="48"/>
  <c r="BB41" i="48"/>
  <c r="AZ20" i="44"/>
  <c r="BA22" i="48"/>
  <c r="AZ21" i="44"/>
  <c r="BA23" i="48"/>
  <c r="AZ22" i="44"/>
  <c r="BA24" i="48"/>
  <c r="AZ23" i="44"/>
  <c r="BA25" i="48"/>
  <c r="AZ24" i="44"/>
  <c r="BA26" i="48"/>
  <c r="AZ25" i="44"/>
  <c r="BA27" i="48"/>
  <c r="AZ26" i="44"/>
  <c r="BA28" i="48"/>
  <c r="AZ27" i="44"/>
  <c r="BA29" i="48"/>
  <c r="AZ28" i="44"/>
  <c r="BA30" i="48"/>
  <c r="AZ29" i="44"/>
  <c r="BA31" i="48"/>
  <c r="BA41" i="48"/>
  <c r="AY20" i="44"/>
  <c r="AZ22" i="48"/>
  <c r="AY21" i="44"/>
  <c r="AZ23" i="48"/>
  <c r="AY22" i="44"/>
  <c r="AZ24" i="48"/>
  <c r="AY23" i="44"/>
  <c r="AZ25" i="48"/>
  <c r="AY24" i="44"/>
  <c r="AZ26" i="48"/>
  <c r="AY25" i="44"/>
  <c r="AZ27" i="48"/>
  <c r="AY26" i="44"/>
  <c r="AZ28" i="48"/>
  <c r="AY27" i="44"/>
  <c r="AZ29" i="48"/>
  <c r="AY28" i="44"/>
  <c r="AZ30" i="48"/>
  <c r="AY29" i="44"/>
  <c r="AZ31" i="48"/>
  <c r="AZ41" i="48"/>
  <c r="AX20" i="44"/>
  <c r="AY22" i="48"/>
  <c r="AX21" i="44"/>
  <c r="AY23" i="48"/>
  <c r="AX22" i="44"/>
  <c r="AY24" i="48"/>
  <c r="AX23" i="44"/>
  <c r="AY25" i="48"/>
  <c r="AX24" i="44"/>
  <c r="AY26" i="48"/>
  <c r="AX25" i="44"/>
  <c r="AY27" i="48"/>
  <c r="AX26" i="44"/>
  <c r="AY28" i="48"/>
  <c r="AX27" i="44"/>
  <c r="AY29" i="48"/>
  <c r="AX28" i="44"/>
  <c r="AY30" i="48"/>
  <c r="AX29" i="44"/>
  <c r="AY31" i="48"/>
  <c r="AY41" i="48"/>
  <c r="AW20" i="44"/>
  <c r="AX22" i="48"/>
  <c r="AW21" i="44"/>
  <c r="AX23" i="48"/>
  <c r="AW22" i="44"/>
  <c r="AX24" i="48"/>
  <c r="AW23" i="44"/>
  <c r="AX25" i="48"/>
  <c r="AW24" i="44"/>
  <c r="AX26" i="48"/>
  <c r="AW25" i="44"/>
  <c r="AX27" i="48"/>
  <c r="AW26" i="44"/>
  <c r="AX28" i="48"/>
  <c r="AW27" i="44"/>
  <c r="AX29" i="48"/>
  <c r="AW28" i="44"/>
  <c r="AX30" i="48"/>
  <c r="AW29" i="44"/>
  <c r="AX31" i="48"/>
  <c r="AX41" i="48"/>
  <c r="AV20" i="44"/>
  <c r="AW22" i="48"/>
  <c r="AV21" i="44"/>
  <c r="AW23" i="48"/>
  <c r="AV22" i="44"/>
  <c r="AW24" i="48"/>
  <c r="AV23" i="44"/>
  <c r="AW25" i="48"/>
  <c r="AV24" i="44"/>
  <c r="AW26" i="48"/>
  <c r="AV25" i="44"/>
  <c r="AW27" i="48"/>
  <c r="AV26" i="44"/>
  <c r="AW28" i="48"/>
  <c r="AV27" i="44"/>
  <c r="AW29" i="48"/>
  <c r="AV28" i="44"/>
  <c r="AW30" i="48"/>
  <c r="AV29" i="44"/>
  <c r="AW31" i="48"/>
  <c r="AW41" i="48"/>
  <c r="AU20" i="44"/>
  <c r="AV22" i="48"/>
  <c r="AU21" i="44"/>
  <c r="AV23" i="48"/>
  <c r="AU22" i="44"/>
  <c r="AV24" i="48"/>
  <c r="AU23" i="44"/>
  <c r="AV25" i="48"/>
  <c r="AU24" i="44"/>
  <c r="AV26" i="48"/>
  <c r="AU25" i="44"/>
  <c r="AV27" i="48"/>
  <c r="AU26" i="44"/>
  <c r="AV28" i="48"/>
  <c r="AU27" i="44"/>
  <c r="AV29" i="48"/>
  <c r="AU28" i="44"/>
  <c r="AV30" i="48"/>
  <c r="AU29" i="44"/>
  <c r="AV31" i="48"/>
  <c r="AV41" i="48"/>
  <c r="AT20" i="44"/>
  <c r="AU22" i="48"/>
  <c r="AT21" i="44"/>
  <c r="AU23" i="48"/>
  <c r="AT22" i="44"/>
  <c r="AU24" i="48"/>
  <c r="AT23" i="44"/>
  <c r="AU25" i="48"/>
  <c r="AT24" i="44"/>
  <c r="AU26" i="48"/>
  <c r="AT25" i="44"/>
  <c r="AU27" i="48"/>
  <c r="AT26" i="44"/>
  <c r="AU28" i="48"/>
  <c r="AT27" i="44"/>
  <c r="AU29" i="48"/>
  <c r="AT28" i="44"/>
  <c r="AU30" i="48"/>
  <c r="AT29" i="44"/>
  <c r="AU31" i="48"/>
  <c r="AU41" i="48"/>
  <c r="AS20" i="44"/>
  <c r="AT22" i="48"/>
  <c r="AS21" i="44"/>
  <c r="AT23" i="48"/>
  <c r="AS22" i="44"/>
  <c r="AT24" i="48"/>
  <c r="AS23" i="44"/>
  <c r="AT25" i="48"/>
  <c r="AS24" i="44"/>
  <c r="AT26" i="48"/>
  <c r="AS25" i="44"/>
  <c r="AT27" i="48"/>
  <c r="AS26" i="44"/>
  <c r="AT28" i="48"/>
  <c r="AS27" i="44"/>
  <c r="AT29" i="48"/>
  <c r="AS28" i="44"/>
  <c r="AT30" i="48"/>
  <c r="AS29" i="44"/>
  <c r="AT31" i="48"/>
  <c r="AT41" i="48"/>
  <c r="AR20" i="44"/>
  <c r="AS22" i="48"/>
  <c r="AR21" i="44"/>
  <c r="AS23" i="48"/>
  <c r="AR22" i="44"/>
  <c r="AS24" i="48"/>
  <c r="AR23" i="44"/>
  <c r="AS25" i="48"/>
  <c r="AR24" i="44"/>
  <c r="AS26" i="48"/>
  <c r="AR25" i="44"/>
  <c r="AS27" i="48"/>
  <c r="AR26" i="44"/>
  <c r="AS28" i="48"/>
  <c r="AR27" i="44"/>
  <c r="AS29" i="48"/>
  <c r="AR28" i="44"/>
  <c r="AS30" i="48"/>
  <c r="AR29" i="44"/>
  <c r="AS31" i="48"/>
  <c r="AS41" i="48"/>
  <c r="AQ20" i="44"/>
  <c r="AR22" i="48"/>
  <c r="AQ21" i="44"/>
  <c r="AR23" i="48"/>
  <c r="AQ22" i="44"/>
  <c r="AR24" i="48"/>
  <c r="AQ23" i="44"/>
  <c r="AR25" i="48"/>
  <c r="AQ24" i="44"/>
  <c r="AR26" i="48"/>
  <c r="AQ25" i="44"/>
  <c r="AR27" i="48"/>
  <c r="AQ26" i="44"/>
  <c r="AR28" i="48"/>
  <c r="AQ27" i="44"/>
  <c r="AR29" i="48"/>
  <c r="AQ28" i="44"/>
  <c r="AR30" i="48"/>
  <c r="AQ29" i="44"/>
  <c r="AR31" i="48"/>
  <c r="AR41" i="48"/>
  <c r="AP20" i="44"/>
  <c r="AQ22" i="48"/>
  <c r="AP21" i="44"/>
  <c r="AQ23" i="48"/>
  <c r="AP22" i="44"/>
  <c r="AQ24" i="48"/>
  <c r="AP23" i="44"/>
  <c r="AQ25" i="48"/>
  <c r="AP24" i="44"/>
  <c r="AQ26" i="48"/>
  <c r="AP25" i="44"/>
  <c r="AQ27" i="48"/>
  <c r="AP26" i="44"/>
  <c r="AQ28" i="48"/>
  <c r="AP27" i="44"/>
  <c r="AQ29" i="48"/>
  <c r="AP28" i="44"/>
  <c r="AQ30" i="48"/>
  <c r="AP29" i="44"/>
  <c r="AQ31" i="48"/>
  <c r="AQ41" i="48"/>
  <c r="AO20" i="44"/>
  <c r="AP22" i="48"/>
  <c r="AO21" i="44"/>
  <c r="AP23" i="48"/>
  <c r="AO22" i="44"/>
  <c r="AP24" i="48"/>
  <c r="AO23" i="44"/>
  <c r="AP25" i="48"/>
  <c r="AO24" i="44"/>
  <c r="AP26" i="48"/>
  <c r="AO25" i="44"/>
  <c r="AP27" i="48"/>
  <c r="AO26" i="44"/>
  <c r="AP28" i="48"/>
  <c r="AO27" i="44"/>
  <c r="AP29" i="48"/>
  <c r="AO28" i="44"/>
  <c r="AP30" i="48"/>
  <c r="AO29" i="44"/>
  <c r="AP31" i="48"/>
  <c r="AP41" i="48"/>
  <c r="AN20" i="44"/>
  <c r="AO22" i="48"/>
  <c r="AN21" i="44"/>
  <c r="AO23" i="48"/>
  <c r="AN22" i="44"/>
  <c r="AO24" i="48"/>
  <c r="AN23" i="44"/>
  <c r="AO25" i="48"/>
  <c r="AN24" i="44"/>
  <c r="AO26" i="48"/>
  <c r="AN25" i="44"/>
  <c r="AO27" i="48"/>
  <c r="AN26" i="44"/>
  <c r="AO28" i="48"/>
  <c r="AN27" i="44"/>
  <c r="AO29" i="48"/>
  <c r="AN28" i="44"/>
  <c r="AO30" i="48"/>
  <c r="AN29" i="44"/>
  <c r="AO31" i="48"/>
  <c r="AO41" i="48"/>
  <c r="AM20" i="44"/>
  <c r="AN22" i="48"/>
  <c r="AM21" i="44"/>
  <c r="AN23" i="48"/>
  <c r="AM22" i="44"/>
  <c r="AN24" i="48"/>
  <c r="AM23" i="44"/>
  <c r="AN25" i="48"/>
  <c r="AM24" i="44"/>
  <c r="AN26" i="48"/>
  <c r="AM25" i="44"/>
  <c r="AN27" i="48"/>
  <c r="AM26" i="44"/>
  <c r="AN28" i="48"/>
  <c r="AM27" i="44"/>
  <c r="AN29" i="48"/>
  <c r="AM28" i="44"/>
  <c r="AN30" i="48"/>
  <c r="AM29" i="44"/>
  <c r="AN31" i="48"/>
  <c r="AN41" i="48"/>
  <c r="AL20" i="44"/>
  <c r="AM22" i="48"/>
  <c r="AL21" i="44"/>
  <c r="AM23" i="48"/>
  <c r="AL22" i="44"/>
  <c r="AM24" i="48"/>
  <c r="AL23" i="44"/>
  <c r="AM25" i="48"/>
  <c r="AL24" i="44"/>
  <c r="AM26" i="48"/>
  <c r="AL25" i="44"/>
  <c r="AM27" i="48"/>
  <c r="AL26" i="44"/>
  <c r="AM28" i="48"/>
  <c r="AL27" i="44"/>
  <c r="AM29" i="48"/>
  <c r="AL28" i="44"/>
  <c r="AM30" i="48"/>
  <c r="AL29" i="44"/>
  <c r="AM31" i="48"/>
  <c r="AM41" i="48"/>
  <c r="AK20" i="44"/>
  <c r="AL22" i="48"/>
  <c r="AK21" i="44"/>
  <c r="AL23" i="48"/>
  <c r="AK22" i="44"/>
  <c r="AL24" i="48"/>
  <c r="AK23" i="44"/>
  <c r="AL25" i="48"/>
  <c r="AK24" i="44"/>
  <c r="AL26" i="48"/>
  <c r="AK25" i="44"/>
  <c r="AL27" i="48"/>
  <c r="AK26" i="44"/>
  <c r="AL28" i="48"/>
  <c r="AK27" i="44"/>
  <c r="AL29" i="48"/>
  <c r="AK28" i="44"/>
  <c r="AL30" i="48"/>
  <c r="AK29" i="44"/>
  <c r="AL31" i="48"/>
  <c r="AL41" i="48"/>
  <c r="AJ20" i="44"/>
  <c r="AK22" i="48"/>
  <c r="AJ21" i="44"/>
  <c r="AK23" i="48"/>
  <c r="AJ22" i="44"/>
  <c r="AK24" i="48"/>
  <c r="AJ23" i="44"/>
  <c r="AK25" i="48"/>
  <c r="AJ24" i="44"/>
  <c r="AK26" i="48"/>
  <c r="AJ25" i="44"/>
  <c r="AK27" i="48"/>
  <c r="AJ26" i="44"/>
  <c r="AK28" i="48"/>
  <c r="AJ27" i="44"/>
  <c r="AK29" i="48"/>
  <c r="AJ28" i="44"/>
  <c r="AK30" i="48"/>
  <c r="AJ29" i="44"/>
  <c r="AK31" i="48"/>
  <c r="AK41" i="48"/>
  <c r="AI20" i="44"/>
  <c r="AJ22" i="48"/>
  <c r="AI21" i="44"/>
  <c r="AJ23" i="48"/>
  <c r="AI22" i="44"/>
  <c r="AJ24" i="48"/>
  <c r="AI23" i="44"/>
  <c r="AJ25" i="48"/>
  <c r="AI24" i="44"/>
  <c r="AJ26" i="48"/>
  <c r="AI25" i="44"/>
  <c r="AJ27" i="48"/>
  <c r="AI26" i="44"/>
  <c r="AJ28" i="48"/>
  <c r="AI27" i="44"/>
  <c r="AJ29" i="48"/>
  <c r="AI28" i="44"/>
  <c r="AJ30" i="48"/>
  <c r="AI29" i="44"/>
  <c r="AJ31" i="48"/>
  <c r="AJ41" i="48"/>
  <c r="AH20" i="44"/>
  <c r="AI22" i="48"/>
  <c r="AH21" i="44"/>
  <c r="AI23" i="48"/>
  <c r="AH22" i="44"/>
  <c r="AI24" i="48"/>
  <c r="AH23" i="44"/>
  <c r="AI25" i="48"/>
  <c r="AH24" i="44"/>
  <c r="AI26" i="48"/>
  <c r="AH25" i="44"/>
  <c r="AI27" i="48"/>
  <c r="AH26" i="44"/>
  <c r="AI28" i="48"/>
  <c r="AH27" i="44"/>
  <c r="AI29" i="48"/>
  <c r="AH28" i="44"/>
  <c r="AI30" i="48"/>
  <c r="AH29" i="44"/>
  <c r="AI31" i="48"/>
  <c r="AI41" i="48"/>
  <c r="AG20" i="44"/>
  <c r="AH22" i="48"/>
  <c r="AG21" i="44"/>
  <c r="AH23" i="48"/>
  <c r="AG22" i="44"/>
  <c r="AH24" i="48"/>
  <c r="AG23" i="44"/>
  <c r="AH25" i="48"/>
  <c r="AG24" i="44"/>
  <c r="AH26" i="48"/>
  <c r="AG25" i="44"/>
  <c r="AH27" i="48"/>
  <c r="AG26" i="44"/>
  <c r="AH28" i="48"/>
  <c r="AG27" i="44"/>
  <c r="AH29" i="48"/>
  <c r="AG28" i="44"/>
  <c r="AH30" i="48"/>
  <c r="AG29" i="44"/>
  <c r="AH31" i="48"/>
  <c r="AH41" i="48"/>
  <c r="AF20" i="44"/>
  <c r="AG22" i="48"/>
  <c r="AF21" i="44"/>
  <c r="AG23" i="48"/>
  <c r="AF22" i="44"/>
  <c r="AG24" i="48"/>
  <c r="AF23" i="44"/>
  <c r="AG25" i="48"/>
  <c r="AF24" i="44"/>
  <c r="AG26" i="48"/>
  <c r="AF25" i="44"/>
  <c r="AG27" i="48"/>
  <c r="AF26" i="44"/>
  <c r="AG28" i="48"/>
  <c r="AF27" i="44"/>
  <c r="AG29" i="48"/>
  <c r="AF28" i="44"/>
  <c r="AG30" i="48"/>
  <c r="AF29" i="44"/>
  <c r="AG31" i="48"/>
  <c r="AG41" i="48"/>
  <c r="AE20" i="44"/>
  <c r="AF22" i="48"/>
  <c r="AE21" i="44"/>
  <c r="AF23" i="48"/>
  <c r="AE22" i="44"/>
  <c r="AF24" i="48"/>
  <c r="AE23" i="44"/>
  <c r="AF25" i="48"/>
  <c r="AE24" i="44"/>
  <c r="AF26" i="48"/>
  <c r="AE25" i="44"/>
  <c r="AF27" i="48"/>
  <c r="AE26" i="44"/>
  <c r="AF28" i="48"/>
  <c r="AE27" i="44"/>
  <c r="AF29" i="48"/>
  <c r="AE28" i="44"/>
  <c r="AF30" i="48"/>
  <c r="AE29" i="44"/>
  <c r="AF31" i="48"/>
  <c r="AF41" i="48"/>
  <c r="AD20" i="44"/>
  <c r="AE22" i="48"/>
  <c r="AD21" i="44"/>
  <c r="AE23" i="48"/>
  <c r="AD22" i="44"/>
  <c r="AE24" i="48"/>
  <c r="AD23" i="44"/>
  <c r="AE25" i="48"/>
  <c r="AD24" i="44"/>
  <c r="AE26" i="48"/>
  <c r="AD25" i="44"/>
  <c r="AE27" i="48"/>
  <c r="AD26" i="44"/>
  <c r="AE28" i="48"/>
  <c r="AD27" i="44"/>
  <c r="AE29" i="48"/>
  <c r="AD28" i="44"/>
  <c r="AE30" i="48"/>
  <c r="AD29" i="44"/>
  <c r="AE31" i="48"/>
  <c r="AE41" i="48"/>
  <c r="AC20" i="44"/>
  <c r="AD22" i="48"/>
  <c r="AC21" i="44"/>
  <c r="AD23" i="48"/>
  <c r="AC22" i="44"/>
  <c r="AD24" i="48"/>
  <c r="AC23" i="44"/>
  <c r="AD25" i="48"/>
  <c r="AC24" i="44"/>
  <c r="AD26" i="48"/>
  <c r="AC25" i="44"/>
  <c r="AD27" i="48"/>
  <c r="AC26" i="44"/>
  <c r="AD28" i="48"/>
  <c r="AC27" i="44"/>
  <c r="AD29" i="48"/>
  <c r="AC28" i="44"/>
  <c r="AD30" i="48"/>
  <c r="AC29" i="44"/>
  <c r="AD31" i="48"/>
  <c r="AD41" i="48"/>
  <c r="AB20" i="44"/>
  <c r="AC22" i="48"/>
  <c r="AB21" i="44"/>
  <c r="AC23" i="48"/>
  <c r="AB22" i="44"/>
  <c r="AC24" i="48"/>
  <c r="AB23" i="44"/>
  <c r="AC25" i="48"/>
  <c r="AB24" i="44"/>
  <c r="AC26" i="48"/>
  <c r="AB25" i="44"/>
  <c r="AC27" i="48"/>
  <c r="AB26" i="44"/>
  <c r="AC28" i="48"/>
  <c r="AB27" i="44"/>
  <c r="AC29" i="48"/>
  <c r="AB28" i="44"/>
  <c r="AC30" i="48"/>
  <c r="AB29" i="44"/>
  <c r="AC31" i="48"/>
  <c r="AC41" i="48"/>
  <c r="AA20" i="44"/>
  <c r="AB22" i="48"/>
  <c r="AA21" i="44"/>
  <c r="AB23" i="48"/>
  <c r="AA22" i="44"/>
  <c r="AB24" i="48"/>
  <c r="AA23" i="44"/>
  <c r="AB25" i="48"/>
  <c r="AA24" i="44"/>
  <c r="AB26" i="48"/>
  <c r="AA25" i="44"/>
  <c r="AB27" i="48"/>
  <c r="AA26" i="44"/>
  <c r="AB28" i="48"/>
  <c r="AA27" i="44"/>
  <c r="AB29" i="48"/>
  <c r="AA28" i="44"/>
  <c r="AB30" i="48"/>
  <c r="AA29" i="44"/>
  <c r="AB31" i="48"/>
  <c r="AB41" i="48"/>
  <c r="Z20" i="44"/>
  <c r="AA22" i="48"/>
  <c r="Z21" i="44"/>
  <c r="AA23" i="48"/>
  <c r="Z22" i="44"/>
  <c r="AA24" i="48"/>
  <c r="Z23" i="44"/>
  <c r="AA25" i="48"/>
  <c r="Z24" i="44"/>
  <c r="AA26" i="48"/>
  <c r="Z25" i="44"/>
  <c r="AA27" i="48"/>
  <c r="Z26" i="44"/>
  <c r="AA28" i="48"/>
  <c r="Z27" i="44"/>
  <c r="AA29" i="48"/>
  <c r="Z28" i="44"/>
  <c r="AA30" i="48"/>
  <c r="Z29" i="44"/>
  <c r="AA31" i="48"/>
  <c r="AA41" i="48"/>
  <c r="Y20" i="44"/>
  <c r="Z22" i="48"/>
  <c r="Y21" i="44"/>
  <c r="Z23" i="48"/>
  <c r="Y22" i="44"/>
  <c r="Z24" i="48"/>
  <c r="Y23" i="44"/>
  <c r="Z25" i="48"/>
  <c r="Y24" i="44"/>
  <c r="Z26" i="48"/>
  <c r="Y25" i="44"/>
  <c r="Z27" i="48"/>
  <c r="Y26" i="44"/>
  <c r="Z28" i="48"/>
  <c r="Y27" i="44"/>
  <c r="Z29" i="48"/>
  <c r="Y28" i="44"/>
  <c r="Z30" i="48"/>
  <c r="Y29" i="44"/>
  <c r="Z31" i="48"/>
  <c r="Z41" i="48"/>
  <c r="X20" i="44"/>
  <c r="Y22" i="48"/>
  <c r="X21" i="44"/>
  <c r="Y23" i="48"/>
  <c r="X22" i="44"/>
  <c r="Y24" i="48"/>
  <c r="X23" i="44"/>
  <c r="Y25" i="48"/>
  <c r="X24" i="44"/>
  <c r="Y26" i="48"/>
  <c r="X25" i="44"/>
  <c r="Y27" i="48"/>
  <c r="X26" i="44"/>
  <c r="Y28" i="48"/>
  <c r="X27" i="44"/>
  <c r="Y29" i="48"/>
  <c r="X28" i="44"/>
  <c r="Y30" i="48"/>
  <c r="X29" i="44"/>
  <c r="Y31" i="48"/>
  <c r="Y41" i="48"/>
  <c r="W20" i="44"/>
  <c r="X22" i="48"/>
  <c r="W21" i="44"/>
  <c r="X23" i="48"/>
  <c r="W22" i="44"/>
  <c r="X24" i="48"/>
  <c r="W23" i="44"/>
  <c r="X25" i="48"/>
  <c r="W24" i="44"/>
  <c r="X26" i="48"/>
  <c r="W25" i="44"/>
  <c r="X27" i="48"/>
  <c r="W26" i="44"/>
  <c r="X28" i="48"/>
  <c r="W27" i="44"/>
  <c r="X29" i="48"/>
  <c r="W28" i="44"/>
  <c r="X30" i="48"/>
  <c r="W29" i="44"/>
  <c r="X31" i="48"/>
  <c r="X41" i="48"/>
  <c r="V20" i="44"/>
  <c r="W22" i="48"/>
  <c r="V21" i="44"/>
  <c r="W23" i="48"/>
  <c r="V22" i="44"/>
  <c r="W24" i="48"/>
  <c r="V23" i="44"/>
  <c r="W25" i="48"/>
  <c r="V24" i="44"/>
  <c r="W26" i="48"/>
  <c r="V25" i="44"/>
  <c r="W27" i="48"/>
  <c r="V26" i="44"/>
  <c r="W28" i="48"/>
  <c r="V27" i="44"/>
  <c r="W29" i="48"/>
  <c r="V28" i="44"/>
  <c r="W30" i="48"/>
  <c r="V29" i="44"/>
  <c r="W31" i="48"/>
  <c r="W41" i="48"/>
  <c r="U20" i="44"/>
  <c r="V22" i="48"/>
  <c r="U21" i="44"/>
  <c r="V23" i="48"/>
  <c r="U22" i="44"/>
  <c r="V24" i="48"/>
  <c r="U23" i="44"/>
  <c r="V25" i="48"/>
  <c r="U24" i="44"/>
  <c r="V26" i="48"/>
  <c r="U25" i="44"/>
  <c r="V27" i="48"/>
  <c r="U26" i="44"/>
  <c r="V28" i="48"/>
  <c r="U27" i="44"/>
  <c r="V29" i="48"/>
  <c r="U28" i="44"/>
  <c r="V30" i="48"/>
  <c r="U29" i="44"/>
  <c r="V31" i="48"/>
  <c r="V41" i="48"/>
  <c r="T20" i="44"/>
  <c r="U22" i="48"/>
  <c r="T21" i="44"/>
  <c r="U23" i="48"/>
  <c r="T22" i="44"/>
  <c r="U24" i="48"/>
  <c r="T23" i="44"/>
  <c r="U25" i="48"/>
  <c r="T24" i="44"/>
  <c r="U26" i="48"/>
  <c r="T25" i="44"/>
  <c r="U27" i="48"/>
  <c r="T26" i="44"/>
  <c r="U28" i="48"/>
  <c r="T27" i="44"/>
  <c r="U29" i="48"/>
  <c r="T28" i="44"/>
  <c r="U30" i="48"/>
  <c r="T29" i="44"/>
  <c r="U31" i="48"/>
  <c r="U41" i="48"/>
  <c r="S20" i="44"/>
  <c r="T22" i="48"/>
  <c r="S21" i="44"/>
  <c r="T23" i="48"/>
  <c r="S22" i="44"/>
  <c r="T24" i="48"/>
  <c r="S23" i="44"/>
  <c r="T25" i="48"/>
  <c r="S24" i="44"/>
  <c r="T26" i="48"/>
  <c r="S25" i="44"/>
  <c r="T27" i="48"/>
  <c r="S26" i="44"/>
  <c r="T28" i="48"/>
  <c r="S27" i="44"/>
  <c r="T29" i="48"/>
  <c r="S28" i="44"/>
  <c r="T30" i="48"/>
  <c r="S29" i="44"/>
  <c r="T31" i="48"/>
  <c r="T41" i="48"/>
  <c r="R20" i="44"/>
  <c r="S22" i="48"/>
  <c r="R21" i="44"/>
  <c r="S23" i="48"/>
  <c r="R22" i="44"/>
  <c r="S24" i="48"/>
  <c r="R23" i="44"/>
  <c r="S25" i="48"/>
  <c r="R24" i="44"/>
  <c r="S26" i="48"/>
  <c r="R25" i="44"/>
  <c r="S27" i="48"/>
  <c r="R26" i="44"/>
  <c r="S28" i="48"/>
  <c r="R27" i="44"/>
  <c r="S29" i="48"/>
  <c r="R28" i="44"/>
  <c r="S30" i="48"/>
  <c r="R29" i="44"/>
  <c r="S31" i="48"/>
  <c r="S41" i="48"/>
  <c r="Q20" i="44"/>
  <c r="R22" i="48"/>
  <c r="Q21" i="44"/>
  <c r="R23" i="48"/>
  <c r="Q22" i="44"/>
  <c r="R24" i="48"/>
  <c r="Q23" i="44"/>
  <c r="R25" i="48"/>
  <c r="Q24" i="44"/>
  <c r="R26" i="48"/>
  <c r="Q25" i="44"/>
  <c r="R27" i="48"/>
  <c r="Q26" i="44"/>
  <c r="R28" i="48"/>
  <c r="Q27" i="44"/>
  <c r="R29" i="48"/>
  <c r="Q28" i="44"/>
  <c r="R30" i="48"/>
  <c r="Q29" i="44"/>
  <c r="R31" i="48"/>
  <c r="R41" i="48"/>
  <c r="P20" i="44"/>
  <c r="Q22" i="48"/>
  <c r="P21" i="44"/>
  <c r="Q23" i="48"/>
  <c r="P22" i="44"/>
  <c r="Q24" i="48"/>
  <c r="P23" i="44"/>
  <c r="Q25" i="48"/>
  <c r="P24" i="44"/>
  <c r="Q26" i="48"/>
  <c r="P25" i="44"/>
  <c r="Q27" i="48"/>
  <c r="P26" i="44"/>
  <c r="Q28" i="48"/>
  <c r="P27" i="44"/>
  <c r="Q29" i="48"/>
  <c r="P28" i="44"/>
  <c r="Q30" i="48"/>
  <c r="P29" i="44"/>
  <c r="Q31" i="48"/>
  <c r="Q41" i="48"/>
  <c r="O20" i="44"/>
  <c r="P22" i="48"/>
  <c r="O21" i="44"/>
  <c r="P23" i="48"/>
  <c r="O22" i="44"/>
  <c r="P24" i="48"/>
  <c r="O23" i="44"/>
  <c r="P25" i="48"/>
  <c r="O24" i="44"/>
  <c r="P26" i="48"/>
  <c r="O25" i="44"/>
  <c r="P27" i="48"/>
  <c r="O26" i="44"/>
  <c r="P28" i="48"/>
  <c r="O27" i="44"/>
  <c r="P29" i="48"/>
  <c r="O28" i="44"/>
  <c r="P30" i="48"/>
  <c r="O29" i="44"/>
  <c r="P31" i="48"/>
  <c r="P41" i="48"/>
  <c r="N20" i="44"/>
  <c r="O22" i="48"/>
  <c r="N21" i="44"/>
  <c r="O23" i="48"/>
  <c r="N22" i="44"/>
  <c r="O24" i="48"/>
  <c r="N23" i="44"/>
  <c r="O25" i="48"/>
  <c r="N24" i="44"/>
  <c r="O26" i="48"/>
  <c r="N25" i="44"/>
  <c r="O27" i="48"/>
  <c r="N26" i="44"/>
  <c r="O28" i="48"/>
  <c r="N27" i="44"/>
  <c r="O29" i="48"/>
  <c r="N28" i="44"/>
  <c r="O30" i="48"/>
  <c r="N29" i="44"/>
  <c r="O31" i="48"/>
  <c r="O41" i="48"/>
  <c r="M20" i="44"/>
  <c r="N22" i="48"/>
  <c r="M21" i="44"/>
  <c r="N23" i="48"/>
  <c r="M22" i="44"/>
  <c r="N24" i="48"/>
  <c r="M23" i="44"/>
  <c r="N25" i="48"/>
  <c r="M24" i="44"/>
  <c r="N26" i="48"/>
  <c r="M25" i="44"/>
  <c r="N27" i="48"/>
  <c r="M26" i="44"/>
  <c r="N28" i="48"/>
  <c r="M27" i="44"/>
  <c r="N29" i="48"/>
  <c r="M28" i="44"/>
  <c r="N30" i="48"/>
  <c r="M29" i="44"/>
  <c r="N31" i="48"/>
  <c r="N41" i="48"/>
  <c r="L20" i="44"/>
  <c r="M22" i="48"/>
  <c r="L21" i="44"/>
  <c r="M23" i="48"/>
  <c r="L22" i="44"/>
  <c r="M24" i="48"/>
  <c r="L23" i="44"/>
  <c r="M25" i="48"/>
  <c r="L24" i="44"/>
  <c r="M26" i="48"/>
  <c r="L25" i="44"/>
  <c r="M27" i="48"/>
  <c r="L26" i="44"/>
  <c r="M28" i="48"/>
  <c r="L27" i="44"/>
  <c r="M29" i="48"/>
  <c r="L28" i="44"/>
  <c r="M30" i="48"/>
  <c r="L29" i="44"/>
  <c r="M31" i="48"/>
  <c r="M41" i="48"/>
  <c r="K20" i="44"/>
  <c r="L22" i="48"/>
  <c r="K21" i="44"/>
  <c r="L23" i="48"/>
  <c r="K22" i="44"/>
  <c r="L24" i="48"/>
  <c r="K23" i="44"/>
  <c r="L25" i="48"/>
  <c r="K24" i="44"/>
  <c r="L26" i="48"/>
  <c r="K25" i="44"/>
  <c r="L27" i="48"/>
  <c r="K26" i="44"/>
  <c r="L28" i="48"/>
  <c r="K27" i="44"/>
  <c r="L29" i="48"/>
  <c r="K28" i="44"/>
  <c r="L30" i="48"/>
  <c r="K29" i="44"/>
  <c r="L31" i="48"/>
  <c r="L41" i="48"/>
  <c r="J20" i="44"/>
  <c r="K22" i="48"/>
  <c r="J21" i="44"/>
  <c r="K23" i="48"/>
  <c r="J22" i="44"/>
  <c r="K24" i="48"/>
  <c r="J23" i="44"/>
  <c r="K25" i="48"/>
  <c r="J24" i="44"/>
  <c r="K26" i="48"/>
  <c r="J25" i="44"/>
  <c r="K27" i="48"/>
  <c r="J26" i="44"/>
  <c r="K28" i="48"/>
  <c r="J27" i="44"/>
  <c r="K29" i="48"/>
  <c r="J28" i="44"/>
  <c r="K30" i="48"/>
  <c r="J29" i="44"/>
  <c r="K31" i="48"/>
  <c r="K41" i="48"/>
  <c r="I20" i="44"/>
  <c r="J22" i="48"/>
  <c r="I21" i="44"/>
  <c r="J23" i="48"/>
  <c r="I22" i="44"/>
  <c r="J24" i="48"/>
  <c r="I23" i="44"/>
  <c r="J25" i="48"/>
  <c r="I24" i="44"/>
  <c r="J26" i="48"/>
  <c r="I25" i="44"/>
  <c r="J27" i="48"/>
  <c r="I26" i="44"/>
  <c r="J28" i="48"/>
  <c r="I27" i="44"/>
  <c r="J29" i="48"/>
  <c r="I28" i="44"/>
  <c r="J30" i="48"/>
  <c r="I29" i="44"/>
  <c r="J31" i="48"/>
  <c r="J41" i="48"/>
  <c r="H20" i="44"/>
  <c r="I22" i="48"/>
  <c r="H21" i="44"/>
  <c r="I23" i="48"/>
  <c r="H22" i="44"/>
  <c r="I24" i="48"/>
  <c r="H23" i="44"/>
  <c r="I25" i="48"/>
  <c r="H24" i="44"/>
  <c r="I26" i="48"/>
  <c r="H25" i="44"/>
  <c r="I27" i="48"/>
  <c r="H26" i="44"/>
  <c r="I28" i="48"/>
  <c r="H27" i="44"/>
  <c r="I29" i="48"/>
  <c r="H28" i="44"/>
  <c r="I30" i="48"/>
  <c r="H29" i="44"/>
  <c r="I31" i="48"/>
  <c r="I41" i="48"/>
  <c r="G20" i="44"/>
  <c r="H22" i="48"/>
  <c r="G21" i="44"/>
  <c r="H23" i="48"/>
  <c r="G22" i="44"/>
  <c r="H24" i="48"/>
  <c r="G23" i="44"/>
  <c r="H25" i="48"/>
  <c r="G24" i="44"/>
  <c r="H26" i="48"/>
  <c r="G25" i="44"/>
  <c r="H27" i="48"/>
  <c r="G26" i="44"/>
  <c r="H28" i="48"/>
  <c r="G27" i="44"/>
  <c r="H29" i="48"/>
  <c r="G28" i="44"/>
  <c r="H30" i="48"/>
  <c r="G29" i="44"/>
  <c r="H31" i="48"/>
  <c r="H41" i="48"/>
  <c r="F20" i="44"/>
  <c r="G22" i="48"/>
  <c r="F21" i="44"/>
  <c r="G23" i="48"/>
  <c r="F22" i="44"/>
  <c r="G24" i="48"/>
  <c r="F23" i="44"/>
  <c r="G25" i="48"/>
  <c r="F24" i="44"/>
  <c r="G26" i="48"/>
  <c r="F25" i="44"/>
  <c r="G27" i="48"/>
  <c r="F26" i="44"/>
  <c r="G28" i="48"/>
  <c r="F27" i="44"/>
  <c r="G29" i="48"/>
  <c r="F28" i="44"/>
  <c r="G30" i="48"/>
  <c r="F29" i="44"/>
  <c r="G31" i="48"/>
  <c r="G41" i="48"/>
  <c r="E20" i="44"/>
  <c r="F22" i="48"/>
  <c r="E21" i="44"/>
  <c r="F23" i="48"/>
  <c r="E22" i="44"/>
  <c r="F24" i="48"/>
  <c r="E23" i="44"/>
  <c r="F25" i="48"/>
  <c r="E24" i="44"/>
  <c r="F26" i="48"/>
  <c r="E25" i="44"/>
  <c r="F27" i="48"/>
  <c r="E26" i="44"/>
  <c r="F28" i="48"/>
  <c r="E27" i="44"/>
  <c r="F29" i="48"/>
  <c r="E28" i="44"/>
  <c r="F30" i="48"/>
  <c r="E29" i="44"/>
  <c r="F31" i="48"/>
  <c r="F41" i="48"/>
  <c r="D20" i="44"/>
  <c r="E22" i="48"/>
  <c r="D21" i="44"/>
  <c r="E23" i="48"/>
  <c r="D22" i="44"/>
  <c r="E24" i="48"/>
  <c r="D23" i="44"/>
  <c r="E25" i="48"/>
  <c r="D24" i="44"/>
  <c r="E26" i="48"/>
  <c r="D25" i="44"/>
  <c r="E27" i="48"/>
  <c r="D26" i="44"/>
  <c r="E28" i="48"/>
  <c r="D27" i="44"/>
  <c r="E29" i="48"/>
  <c r="D28" i="44"/>
  <c r="E30" i="48"/>
  <c r="D29" i="44"/>
  <c r="E31" i="48"/>
  <c r="E41" i="48"/>
  <c r="D41" i="48"/>
  <c r="BB7" i="48"/>
  <c r="BB8" i="48"/>
  <c r="BB9" i="48"/>
  <c r="BB10" i="48"/>
  <c r="BB11" i="48"/>
  <c r="BB12" i="48"/>
  <c r="BA11" i="44"/>
  <c r="BB13" i="48"/>
  <c r="BA12" i="44"/>
  <c r="BB14" i="48"/>
  <c r="BA13" i="44"/>
  <c r="BB15" i="48"/>
  <c r="BA14" i="44"/>
  <c r="BB16" i="48"/>
  <c r="BA15" i="44"/>
  <c r="BB17" i="48"/>
  <c r="BA16" i="44"/>
  <c r="BB18" i="48"/>
  <c r="BC13" i="24"/>
  <c r="BC14" i="24"/>
  <c r="BC15" i="24"/>
  <c r="BC16" i="24"/>
  <c r="BC17" i="24"/>
  <c r="BC4" i="24"/>
  <c r="BA17" i="44"/>
  <c r="BB19" i="48"/>
  <c r="BA6" i="37"/>
  <c r="C6" i="37"/>
  <c r="BA7" i="37"/>
  <c r="BA4" i="37"/>
  <c r="BA18" i="44"/>
  <c r="BB20" i="48"/>
  <c r="BB6" i="48"/>
  <c r="BB40" i="48"/>
  <c r="BA7" i="48"/>
  <c r="BA8" i="48"/>
  <c r="BA9" i="48"/>
  <c r="BA10" i="48"/>
  <c r="BA11" i="48"/>
  <c r="BA12" i="48"/>
  <c r="AZ11" i="44"/>
  <c r="BA13" i="48"/>
  <c r="AZ12" i="44"/>
  <c r="BA14" i="48"/>
  <c r="AZ13" i="44"/>
  <c r="BA15" i="48"/>
  <c r="AZ14" i="44"/>
  <c r="BA16" i="48"/>
  <c r="AZ15" i="44"/>
  <c r="BA17" i="48"/>
  <c r="AZ16" i="44"/>
  <c r="BA18" i="48"/>
  <c r="BB13" i="24"/>
  <c r="BB14" i="24"/>
  <c r="BB15" i="24"/>
  <c r="BB16" i="24"/>
  <c r="BB17" i="24"/>
  <c r="BB4" i="24"/>
  <c r="AZ17" i="44"/>
  <c r="BA19" i="48"/>
  <c r="AZ6" i="37"/>
  <c r="AZ7" i="37"/>
  <c r="AZ4" i="37"/>
  <c r="AZ18" i="44"/>
  <c r="BA20" i="48"/>
  <c r="BA6" i="48"/>
  <c r="BA40" i="48"/>
  <c r="AZ7" i="48"/>
  <c r="AZ8" i="48"/>
  <c r="AZ9" i="48"/>
  <c r="AZ10" i="48"/>
  <c r="AZ11" i="48"/>
  <c r="AZ12" i="48"/>
  <c r="AY11" i="44"/>
  <c r="AZ13" i="48"/>
  <c r="AY12" i="44"/>
  <c r="AZ14" i="48"/>
  <c r="AY13" i="44"/>
  <c r="AZ15" i="48"/>
  <c r="AY14" i="44"/>
  <c r="AZ16" i="48"/>
  <c r="AY15" i="44"/>
  <c r="AZ17" i="48"/>
  <c r="AY16" i="44"/>
  <c r="AZ18" i="48"/>
  <c r="BA13" i="24"/>
  <c r="BA14" i="24"/>
  <c r="BA15" i="24"/>
  <c r="BA16" i="24"/>
  <c r="BA17" i="24"/>
  <c r="BA4" i="24"/>
  <c r="AY17" i="44"/>
  <c r="AZ19" i="48"/>
  <c r="AY6" i="37"/>
  <c r="AY7" i="37"/>
  <c r="AY4" i="37"/>
  <c r="AY18" i="44"/>
  <c r="AZ20" i="48"/>
  <c r="AZ6" i="48"/>
  <c r="AZ40" i="48"/>
  <c r="AY7" i="48"/>
  <c r="AY8" i="48"/>
  <c r="AY9" i="48"/>
  <c r="AY10" i="48"/>
  <c r="AY11" i="48"/>
  <c r="AY12" i="48"/>
  <c r="AX11" i="44"/>
  <c r="AY13" i="48"/>
  <c r="AX12" i="44"/>
  <c r="AY14" i="48"/>
  <c r="AX13" i="44"/>
  <c r="AY15" i="48"/>
  <c r="AX14" i="44"/>
  <c r="AY16" i="48"/>
  <c r="AX15" i="44"/>
  <c r="AY17" i="48"/>
  <c r="AX16" i="44"/>
  <c r="AY18" i="48"/>
  <c r="AZ13" i="24"/>
  <c r="AZ14" i="24"/>
  <c r="AZ15" i="24"/>
  <c r="AZ16" i="24"/>
  <c r="AZ17" i="24"/>
  <c r="AZ4" i="24"/>
  <c r="AX17" i="44"/>
  <c r="AY19" i="48"/>
  <c r="AX6" i="37"/>
  <c r="AX7" i="37"/>
  <c r="AX4" i="37"/>
  <c r="AX18" i="44"/>
  <c r="AY20" i="48"/>
  <c r="AY6" i="48"/>
  <c r="AY40" i="48"/>
  <c r="AX7" i="48"/>
  <c r="AX8" i="48"/>
  <c r="AX9" i="48"/>
  <c r="AX10" i="48"/>
  <c r="AX11" i="48"/>
  <c r="AX12" i="48"/>
  <c r="AW11" i="44"/>
  <c r="AX13" i="48"/>
  <c r="AW12" i="44"/>
  <c r="AX14" i="48"/>
  <c r="AW13" i="44"/>
  <c r="AX15" i="48"/>
  <c r="AW14" i="44"/>
  <c r="AX16" i="48"/>
  <c r="AW15" i="44"/>
  <c r="AX17" i="48"/>
  <c r="AW16" i="44"/>
  <c r="AX18" i="48"/>
  <c r="AY13" i="24"/>
  <c r="AY14" i="24"/>
  <c r="AY15" i="24"/>
  <c r="AY16" i="24"/>
  <c r="AY17" i="24"/>
  <c r="AY4" i="24"/>
  <c r="AW17" i="44"/>
  <c r="AX19" i="48"/>
  <c r="AW6" i="37"/>
  <c r="AW7" i="37"/>
  <c r="AW4" i="37"/>
  <c r="AW18" i="44"/>
  <c r="AX20" i="48"/>
  <c r="AX6" i="48"/>
  <c r="AX40" i="48"/>
  <c r="AW7" i="48"/>
  <c r="AW8" i="48"/>
  <c r="AW9" i="48"/>
  <c r="AW10" i="48"/>
  <c r="AW11" i="48"/>
  <c r="AW12" i="48"/>
  <c r="AV11" i="44"/>
  <c r="AW13" i="48"/>
  <c r="AV12" i="44"/>
  <c r="AW14" i="48"/>
  <c r="AV13" i="44"/>
  <c r="AW15" i="48"/>
  <c r="AV14" i="44"/>
  <c r="AW16" i="48"/>
  <c r="AV15" i="44"/>
  <c r="AW17" i="48"/>
  <c r="AV16" i="44"/>
  <c r="AW18" i="48"/>
  <c r="AX13" i="24"/>
  <c r="AX14" i="24"/>
  <c r="AX15" i="24"/>
  <c r="AX16" i="24"/>
  <c r="AX17" i="24"/>
  <c r="AX4" i="24"/>
  <c r="AV17" i="44"/>
  <c r="AW19" i="48"/>
  <c r="AV6" i="37"/>
  <c r="AV7" i="37"/>
  <c r="AV4" i="37"/>
  <c r="AV18" i="44"/>
  <c r="AW20" i="48"/>
  <c r="AW6" i="48"/>
  <c r="AW40" i="48"/>
  <c r="AV7" i="48"/>
  <c r="AV8" i="48"/>
  <c r="AV9" i="48"/>
  <c r="AV10" i="48"/>
  <c r="AV11" i="48"/>
  <c r="AV12" i="48"/>
  <c r="AU11" i="44"/>
  <c r="AV13" i="48"/>
  <c r="AU12" i="44"/>
  <c r="AV14" i="48"/>
  <c r="AU13" i="44"/>
  <c r="AV15" i="48"/>
  <c r="AU14" i="44"/>
  <c r="AV16" i="48"/>
  <c r="AU15" i="44"/>
  <c r="AV17" i="48"/>
  <c r="AU16" i="44"/>
  <c r="AV18" i="48"/>
  <c r="AW13" i="24"/>
  <c r="AW14" i="24"/>
  <c r="AW15" i="24"/>
  <c r="AW16" i="24"/>
  <c r="AW17" i="24"/>
  <c r="AW4" i="24"/>
  <c r="AU17" i="44"/>
  <c r="AV19" i="48"/>
  <c r="AU6" i="37"/>
  <c r="AU7" i="37"/>
  <c r="AU4" i="37"/>
  <c r="AU18" i="44"/>
  <c r="AV20" i="48"/>
  <c r="AV6" i="48"/>
  <c r="AV40" i="48"/>
  <c r="AU7" i="48"/>
  <c r="AU8" i="48"/>
  <c r="AU9" i="48"/>
  <c r="AU10" i="48"/>
  <c r="AU11" i="48"/>
  <c r="AU12" i="48"/>
  <c r="AT11" i="44"/>
  <c r="AU13" i="48"/>
  <c r="AT12" i="44"/>
  <c r="AU14" i="48"/>
  <c r="AT13" i="44"/>
  <c r="AU15" i="48"/>
  <c r="AT14" i="44"/>
  <c r="AU16" i="48"/>
  <c r="AT15" i="44"/>
  <c r="AU17" i="48"/>
  <c r="AT16" i="44"/>
  <c r="AU18" i="48"/>
  <c r="AV13" i="24"/>
  <c r="AV14" i="24"/>
  <c r="AV15" i="24"/>
  <c r="AV16" i="24"/>
  <c r="AV17" i="24"/>
  <c r="AV4" i="24"/>
  <c r="AT17" i="44"/>
  <c r="AU19" i="48"/>
  <c r="AT6" i="37"/>
  <c r="AT7" i="37"/>
  <c r="AT4" i="37"/>
  <c r="AT18" i="44"/>
  <c r="AU20" i="48"/>
  <c r="AU6" i="48"/>
  <c r="AU40" i="48"/>
  <c r="AT7" i="48"/>
  <c r="AT8" i="48"/>
  <c r="AT9" i="48"/>
  <c r="AT10" i="48"/>
  <c r="AT11" i="48"/>
  <c r="AT12" i="48"/>
  <c r="AS11" i="44"/>
  <c r="AT13" i="48"/>
  <c r="AS12" i="44"/>
  <c r="AT14" i="48"/>
  <c r="AS13" i="44"/>
  <c r="AT15" i="48"/>
  <c r="AS14" i="44"/>
  <c r="AT16" i="48"/>
  <c r="AS15" i="44"/>
  <c r="AT17" i="48"/>
  <c r="AS16" i="44"/>
  <c r="AT18" i="48"/>
  <c r="AU13" i="24"/>
  <c r="AU14" i="24"/>
  <c r="AU15" i="24"/>
  <c r="AU16" i="24"/>
  <c r="AU17" i="24"/>
  <c r="AU4" i="24"/>
  <c r="AS17" i="44"/>
  <c r="AT19" i="48"/>
  <c r="AS6" i="37"/>
  <c r="AS7" i="37"/>
  <c r="AS4" i="37"/>
  <c r="AS18" i="44"/>
  <c r="AT20" i="48"/>
  <c r="AT6" i="48"/>
  <c r="AT40" i="48"/>
  <c r="AS7" i="48"/>
  <c r="AS8" i="48"/>
  <c r="AS9" i="48"/>
  <c r="AS10" i="48"/>
  <c r="AS11" i="48"/>
  <c r="AS12" i="48"/>
  <c r="AR11" i="44"/>
  <c r="AS13" i="48"/>
  <c r="AR12" i="44"/>
  <c r="AS14" i="48"/>
  <c r="AR13" i="44"/>
  <c r="AS15" i="48"/>
  <c r="AR14" i="44"/>
  <c r="AS16" i="48"/>
  <c r="AR15" i="44"/>
  <c r="AS17" i="48"/>
  <c r="AR16" i="44"/>
  <c r="AS18" i="48"/>
  <c r="AT13" i="24"/>
  <c r="AT14" i="24"/>
  <c r="AT15" i="24"/>
  <c r="AT16" i="24"/>
  <c r="AT17" i="24"/>
  <c r="AT4" i="24"/>
  <c r="AR17" i="44"/>
  <c r="AS19" i="48"/>
  <c r="AR6" i="37"/>
  <c r="AR7" i="37"/>
  <c r="AR4" i="37"/>
  <c r="AR18" i="44"/>
  <c r="AS20" i="48"/>
  <c r="AS6" i="48"/>
  <c r="AS40" i="48"/>
  <c r="AR7" i="48"/>
  <c r="AR8" i="48"/>
  <c r="AR9" i="48"/>
  <c r="AR10" i="48"/>
  <c r="AR11" i="48"/>
  <c r="AR12" i="48"/>
  <c r="AQ11" i="44"/>
  <c r="AR13" i="48"/>
  <c r="AQ12" i="44"/>
  <c r="AR14" i="48"/>
  <c r="AQ13" i="44"/>
  <c r="AR15" i="48"/>
  <c r="AQ14" i="44"/>
  <c r="AR16" i="48"/>
  <c r="AQ15" i="44"/>
  <c r="AR17" i="48"/>
  <c r="AQ16" i="44"/>
  <c r="AR18" i="48"/>
  <c r="AS13" i="24"/>
  <c r="AS14" i="24"/>
  <c r="AS15" i="24"/>
  <c r="AS16" i="24"/>
  <c r="AS17" i="24"/>
  <c r="AS4" i="24"/>
  <c r="AQ17" i="44"/>
  <c r="AR19" i="48"/>
  <c r="AQ6" i="37"/>
  <c r="AQ7" i="37"/>
  <c r="AQ4" i="37"/>
  <c r="AQ18" i="44"/>
  <c r="AR20" i="48"/>
  <c r="AR6" i="48"/>
  <c r="AR40" i="48"/>
  <c r="AQ7" i="48"/>
  <c r="AQ8" i="48"/>
  <c r="AQ9" i="48"/>
  <c r="AQ10" i="48"/>
  <c r="AQ11" i="48"/>
  <c r="AQ12" i="48"/>
  <c r="AP11" i="44"/>
  <c r="AQ13" i="48"/>
  <c r="AP12" i="44"/>
  <c r="AQ14" i="48"/>
  <c r="AP13" i="44"/>
  <c r="AQ15" i="48"/>
  <c r="AP14" i="44"/>
  <c r="AQ16" i="48"/>
  <c r="AP15" i="44"/>
  <c r="AQ17" i="48"/>
  <c r="AP16" i="44"/>
  <c r="AQ18" i="48"/>
  <c r="AR13" i="24"/>
  <c r="AR14" i="24"/>
  <c r="AR15" i="24"/>
  <c r="AR16" i="24"/>
  <c r="AR17" i="24"/>
  <c r="AR4" i="24"/>
  <c r="AP17" i="44"/>
  <c r="AQ19" i="48"/>
  <c r="AP6" i="37"/>
  <c r="AP7" i="37"/>
  <c r="AP4" i="37"/>
  <c r="AP18" i="44"/>
  <c r="AQ20" i="48"/>
  <c r="AQ6" i="48"/>
  <c r="AQ40" i="48"/>
  <c r="AP7" i="48"/>
  <c r="AP8" i="48"/>
  <c r="AP9" i="48"/>
  <c r="AP10" i="48"/>
  <c r="AP11" i="48"/>
  <c r="AP12" i="48"/>
  <c r="AO11" i="44"/>
  <c r="AP13" i="48"/>
  <c r="AO12" i="44"/>
  <c r="AP14" i="48"/>
  <c r="AO13" i="44"/>
  <c r="AP15" i="48"/>
  <c r="AO14" i="44"/>
  <c r="AP16" i="48"/>
  <c r="AO15" i="44"/>
  <c r="AP17" i="48"/>
  <c r="AO16" i="44"/>
  <c r="AP18" i="48"/>
  <c r="AQ13" i="24"/>
  <c r="AQ14" i="24"/>
  <c r="AQ15" i="24"/>
  <c r="AQ16" i="24"/>
  <c r="AQ17" i="24"/>
  <c r="AQ4" i="24"/>
  <c r="AO17" i="44"/>
  <c r="AP19" i="48"/>
  <c r="AO6" i="37"/>
  <c r="AO7" i="37"/>
  <c r="AO4" i="37"/>
  <c r="AO18" i="44"/>
  <c r="AP20" i="48"/>
  <c r="AP6" i="48"/>
  <c r="AP40" i="48"/>
  <c r="AO7" i="48"/>
  <c r="AO8" i="48"/>
  <c r="AO9" i="48"/>
  <c r="AO10" i="48"/>
  <c r="AO11" i="48"/>
  <c r="AO12" i="48"/>
  <c r="AN11" i="44"/>
  <c r="AO13" i="48"/>
  <c r="AN12" i="44"/>
  <c r="AO14" i="48"/>
  <c r="AN13" i="44"/>
  <c r="AO15" i="48"/>
  <c r="AN14" i="44"/>
  <c r="AO16" i="48"/>
  <c r="AN15" i="44"/>
  <c r="AO17" i="48"/>
  <c r="AN16" i="44"/>
  <c r="AO18" i="48"/>
  <c r="AP13" i="24"/>
  <c r="AP14" i="24"/>
  <c r="AP15" i="24"/>
  <c r="AP16" i="24"/>
  <c r="AP17" i="24"/>
  <c r="AP4" i="24"/>
  <c r="AN17" i="44"/>
  <c r="AO19" i="48"/>
  <c r="AN6" i="37"/>
  <c r="AN7" i="37"/>
  <c r="AN4" i="37"/>
  <c r="AN18" i="44"/>
  <c r="AO20" i="48"/>
  <c r="AO6" i="48"/>
  <c r="AO40" i="48"/>
  <c r="AN7" i="48"/>
  <c r="AN8" i="48"/>
  <c r="AN9" i="48"/>
  <c r="AN10" i="48"/>
  <c r="AN11" i="48"/>
  <c r="AN12" i="48"/>
  <c r="AM11" i="44"/>
  <c r="AN13" i="48"/>
  <c r="AM12" i="44"/>
  <c r="AN14" i="48"/>
  <c r="AM13" i="44"/>
  <c r="AN15" i="48"/>
  <c r="AM14" i="44"/>
  <c r="AN16" i="48"/>
  <c r="AM15" i="44"/>
  <c r="AN17" i="48"/>
  <c r="AM16" i="44"/>
  <c r="AN18" i="48"/>
  <c r="AO13" i="24"/>
  <c r="AO14" i="24"/>
  <c r="AO15" i="24"/>
  <c r="AO16" i="24"/>
  <c r="AO17" i="24"/>
  <c r="AO4" i="24"/>
  <c r="AM17" i="44"/>
  <c r="AN19" i="48"/>
  <c r="AM6" i="37"/>
  <c r="AM7" i="37"/>
  <c r="AM4" i="37"/>
  <c r="AM18" i="44"/>
  <c r="AN20" i="48"/>
  <c r="AN6" i="48"/>
  <c r="AN40" i="48"/>
  <c r="AM7" i="48"/>
  <c r="AM8" i="48"/>
  <c r="AM9" i="48"/>
  <c r="AM10" i="48"/>
  <c r="AM11" i="48"/>
  <c r="AM12" i="48"/>
  <c r="AL11" i="44"/>
  <c r="AM13" i="48"/>
  <c r="AL12" i="44"/>
  <c r="AM14" i="48"/>
  <c r="AL13" i="44"/>
  <c r="AM15" i="48"/>
  <c r="AL14" i="44"/>
  <c r="AM16" i="48"/>
  <c r="AL15" i="44"/>
  <c r="AM17" i="48"/>
  <c r="AL16" i="44"/>
  <c r="AM18" i="48"/>
  <c r="AN13" i="24"/>
  <c r="AN14" i="24"/>
  <c r="AN15" i="24"/>
  <c r="AN16" i="24"/>
  <c r="AN17" i="24"/>
  <c r="AN4" i="24"/>
  <c r="AL17" i="44"/>
  <c r="AM19" i="48"/>
  <c r="AL6" i="37"/>
  <c r="AL7" i="37"/>
  <c r="AL4" i="37"/>
  <c r="AL18" i="44"/>
  <c r="AM20" i="48"/>
  <c r="AM6" i="48"/>
  <c r="AM40" i="48"/>
  <c r="AL7" i="48"/>
  <c r="AL8" i="48"/>
  <c r="AL9" i="48"/>
  <c r="AL10" i="48"/>
  <c r="AL11" i="48"/>
  <c r="AL12" i="48"/>
  <c r="AK11" i="44"/>
  <c r="AL13" i="48"/>
  <c r="AK12" i="44"/>
  <c r="AL14" i="48"/>
  <c r="AK13" i="44"/>
  <c r="AL15" i="48"/>
  <c r="AK14" i="44"/>
  <c r="AL16" i="48"/>
  <c r="AK15" i="44"/>
  <c r="AL17" i="48"/>
  <c r="AK16" i="44"/>
  <c r="AL18" i="48"/>
  <c r="AM13" i="24"/>
  <c r="AM14" i="24"/>
  <c r="AM15" i="24"/>
  <c r="AM16" i="24"/>
  <c r="AM17" i="24"/>
  <c r="AM4" i="24"/>
  <c r="AK17" i="44"/>
  <c r="AL19" i="48"/>
  <c r="AK6" i="37"/>
  <c r="AK7" i="37"/>
  <c r="AK4" i="37"/>
  <c r="AK18" i="44"/>
  <c r="AL20" i="48"/>
  <c r="AL6" i="48"/>
  <c r="AL40" i="48"/>
  <c r="AK7" i="48"/>
  <c r="AK8" i="48"/>
  <c r="AK9" i="48"/>
  <c r="AK10" i="48"/>
  <c r="AK11" i="48"/>
  <c r="AK12" i="48"/>
  <c r="AJ11" i="44"/>
  <c r="AK13" i="48"/>
  <c r="AJ12" i="44"/>
  <c r="AK14" i="48"/>
  <c r="AJ13" i="44"/>
  <c r="AK15" i="48"/>
  <c r="AJ14" i="44"/>
  <c r="AK16" i="48"/>
  <c r="AJ15" i="44"/>
  <c r="AK17" i="48"/>
  <c r="AJ16" i="44"/>
  <c r="AK18" i="48"/>
  <c r="AL13" i="24"/>
  <c r="AL14" i="24"/>
  <c r="AL15" i="24"/>
  <c r="AL16" i="24"/>
  <c r="AL17" i="24"/>
  <c r="AL4" i="24"/>
  <c r="AJ17" i="44"/>
  <c r="AK19" i="48"/>
  <c r="AJ6" i="37"/>
  <c r="AJ7" i="37"/>
  <c r="AJ4" i="37"/>
  <c r="AJ18" i="44"/>
  <c r="AK20" i="48"/>
  <c r="AK6" i="48"/>
  <c r="AK40" i="48"/>
  <c r="AJ7" i="48"/>
  <c r="AJ8" i="48"/>
  <c r="AJ9" i="48"/>
  <c r="AJ10" i="48"/>
  <c r="AJ11" i="48"/>
  <c r="AJ12" i="48"/>
  <c r="AI11" i="44"/>
  <c r="AJ13" i="48"/>
  <c r="AI12" i="44"/>
  <c r="AJ14" i="48"/>
  <c r="AI13" i="44"/>
  <c r="AJ15" i="48"/>
  <c r="AI14" i="44"/>
  <c r="AJ16" i="48"/>
  <c r="AI15" i="44"/>
  <c r="AJ17" i="48"/>
  <c r="AI16" i="44"/>
  <c r="AJ18" i="48"/>
  <c r="AK13" i="24"/>
  <c r="AK14" i="24"/>
  <c r="AK15" i="24"/>
  <c r="AK16" i="24"/>
  <c r="AK17" i="24"/>
  <c r="AK4" i="24"/>
  <c r="AI17" i="44"/>
  <c r="AJ19" i="48"/>
  <c r="AI6" i="37"/>
  <c r="AI7" i="37"/>
  <c r="AI4" i="37"/>
  <c r="AI18" i="44"/>
  <c r="AJ20" i="48"/>
  <c r="AJ6" i="48"/>
  <c r="AJ40" i="48"/>
  <c r="AI7" i="48"/>
  <c r="AI8" i="48"/>
  <c r="AI9" i="48"/>
  <c r="AI10" i="48"/>
  <c r="AI11" i="48"/>
  <c r="AI12" i="48"/>
  <c r="AH11" i="44"/>
  <c r="AI13" i="48"/>
  <c r="AH12" i="44"/>
  <c r="AI14" i="48"/>
  <c r="AH13" i="44"/>
  <c r="AI15" i="48"/>
  <c r="AH14" i="44"/>
  <c r="AI16" i="48"/>
  <c r="AH15" i="44"/>
  <c r="AI17" i="48"/>
  <c r="AH16" i="44"/>
  <c r="AI18" i="48"/>
  <c r="AJ13" i="24"/>
  <c r="AJ14" i="24"/>
  <c r="AJ15" i="24"/>
  <c r="AJ16" i="24"/>
  <c r="AJ17" i="24"/>
  <c r="AJ4" i="24"/>
  <c r="AH17" i="44"/>
  <c r="AI19" i="48"/>
  <c r="AH6" i="37"/>
  <c r="AH7" i="37"/>
  <c r="AH4" i="37"/>
  <c r="AH18" i="44"/>
  <c r="AI20" i="48"/>
  <c r="AI6" i="48"/>
  <c r="AI40" i="48"/>
  <c r="AH7" i="48"/>
  <c r="AH8" i="48"/>
  <c r="AH9" i="48"/>
  <c r="AH10" i="48"/>
  <c r="AH11" i="48"/>
  <c r="AH12" i="48"/>
  <c r="AG11" i="44"/>
  <c r="AH13" i="48"/>
  <c r="AG12" i="44"/>
  <c r="AH14" i="48"/>
  <c r="AG13" i="44"/>
  <c r="AH15" i="48"/>
  <c r="AG14" i="44"/>
  <c r="AH16" i="48"/>
  <c r="AG15" i="44"/>
  <c r="AH17" i="48"/>
  <c r="AG16" i="44"/>
  <c r="AH18" i="48"/>
  <c r="AI13" i="24"/>
  <c r="AI14" i="24"/>
  <c r="AI15" i="24"/>
  <c r="AI16" i="24"/>
  <c r="AI17" i="24"/>
  <c r="AI4" i="24"/>
  <c r="AG17" i="44"/>
  <c r="AH19" i="48"/>
  <c r="AG6" i="37"/>
  <c r="AG7" i="37"/>
  <c r="AG4" i="37"/>
  <c r="AG18" i="44"/>
  <c r="AH20" i="48"/>
  <c r="AH6" i="48"/>
  <c r="AH40" i="48"/>
  <c r="AG7" i="48"/>
  <c r="AG8" i="48"/>
  <c r="AG9" i="48"/>
  <c r="AG10" i="48"/>
  <c r="AG11" i="48"/>
  <c r="AG12" i="48"/>
  <c r="AF11" i="44"/>
  <c r="AG13" i="48"/>
  <c r="AF12" i="44"/>
  <c r="AG14" i="48"/>
  <c r="AF13" i="44"/>
  <c r="AG15" i="48"/>
  <c r="AF14" i="44"/>
  <c r="AG16" i="48"/>
  <c r="AF15" i="44"/>
  <c r="AG17" i="48"/>
  <c r="AF16" i="44"/>
  <c r="AG18" i="48"/>
  <c r="AH13" i="24"/>
  <c r="AH14" i="24"/>
  <c r="AH15" i="24"/>
  <c r="AH16" i="24"/>
  <c r="AH17" i="24"/>
  <c r="AH4" i="24"/>
  <c r="AF17" i="44"/>
  <c r="AG19" i="48"/>
  <c r="AF6" i="37"/>
  <c r="AF7" i="37"/>
  <c r="AF4" i="37"/>
  <c r="AF18" i="44"/>
  <c r="AG20" i="48"/>
  <c r="AG6" i="48"/>
  <c r="AG40" i="48"/>
  <c r="AF7" i="48"/>
  <c r="AF8" i="48"/>
  <c r="AF9" i="48"/>
  <c r="AF10" i="48"/>
  <c r="AF11" i="48"/>
  <c r="AF12" i="48"/>
  <c r="AE11" i="44"/>
  <c r="AF13" i="48"/>
  <c r="AE12" i="44"/>
  <c r="AF14" i="48"/>
  <c r="AE13" i="44"/>
  <c r="AF15" i="48"/>
  <c r="AE14" i="44"/>
  <c r="AF16" i="48"/>
  <c r="AE15" i="44"/>
  <c r="AF17" i="48"/>
  <c r="AE16" i="44"/>
  <c r="AF18" i="48"/>
  <c r="AG13" i="24"/>
  <c r="AG14" i="24"/>
  <c r="AG15" i="24"/>
  <c r="AG16" i="24"/>
  <c r="AG17" i="24"/>
  <c r="AG4" i="24"/>
  <c r="AE17" i="44"/>
  <c r="AF19" i="48"/>
  <c r="AE6" i="37"/>
  <c r="AE7" i="37"/>
  <c r="AE4" i="37"/>
  <c r="AE18" i="44"/>
  <c r="AF20" i="48"/>
  <c r="AF6" i="48"/>
  <c r="AF40" i="48"/>
  <c r="AE7" i="48"/>
  <c r="AE8" i="48"/>
  <c r="AE9" i="48"/>
  <c r="AE10" i="48"/>
  <c r="AE11" i="48"/>
  <c r="AE12" i="48"/>
  <c r="AD11" i="44"/>
  <c r="AE13" i="48"/>
  <c r="AD12" i="44"/>
  <c r="AE14" i="48"/>
  <c r="AD13" i="44"/>
  <c r="AE15" i="48"/>
  <c r="AD14" i="44"/>
  <c r="AE16" i="48"/>
  <c r="AD15" i="44"/>
  <c r="AE17" i="48"/>
  <c r="AD16" i="44"/>
  <c r="AE18" i="48"/>
  <c r="AF13" i="24"/>
  <c r="AF14" i="24"/>
  <c r="AF15" i="24"/>
  <c r="AF16" i="24"/>
  <c r="AF17" i="24"/>
  <c r="AF4" i="24"/>
  <c r="AD17" i="44"/>
  <c r="AE19" i="48"/>
  <c r="AD6" i="37"/>
  <c r="AD7" i="37"/>
  <c r="AD4" i="37"/>
  <c r="AD18" i="44"/>
  <c r="AE20" i="48"/>
  <c r="AE6" i="48"/>
  <c r="AE40" i="48"/>
  <c r="AD7" i="48"/>
  <c r="AD8" i="48"/>
  <c r="AD9" i="48"/>
  <c r="AD10" i="48"/>
  <c r="AD11" i="48"/>
  <c r="AD12" i="48"/>
  <c r="AC11" i="44"/>
  <c r="AD13" i="48"/>
  <c r="AC12" i="44"/>
  <c r="AD14" i="48"/>
  <c r="AC13" i="44"/>
  <c r="AD15" i="48"/>
  <c r="AC14" i="44"/>
  <c r="AD16" i="48"/>
  <c r="AC15" i="44"/>
  <c r="AD17" i="48"/>
  <c r="AC16" i="44"/>
  <c r="AD18" i="48"/>
  <c r="AE13" i="24"/>
  <c r="AE14" i="24"/>
  <c r="AE15" i="24"/>
  <c r="AE16" i="24"/>
  <c r="AE17" i="24"/>
  <c r="AE4" i="24"/>
  <c r="AC17" i="44"/>
  <c r="AD19" i="48"/>
  <c r="AC6" i="37"/>
  <c r="AC7" i="37"/>
  <c r="AC4" i="37"/>
  <c r="AC18" i="44"/>
  <c r="AD20" i="48"/>
  <c r="AD6" i="48"/>
  <c r="AD40" i="48"/>
  <c r="AC7" i="48"/>
  <c r="AC8" i="48"/>
  <c r="AC9" i="48"/>
  <c r="AC10" i="48"/>
  <c r="AC11" i="48"/>
  <c r="AC12" i="48"/>
  <c r="AB11" i="44"/>
  <c r="AC13" i="48"/>
  <c r="AB12" i="44"/>
  <c r="AC14" i="48"/>
  <c r="AB13" i="44"/>
  <c r="AC15" i="48"/>
  <c r="AB14" i="44"/>
  <c r="AC16" i="48"/>
  <c r="AB15" i="44"/>
  <c r="AC17" i="48"/>
  <c r="AB16" i="44"/>
  <c r="AC18" i="48"/>
  <c r="AD13" i="24"/>
  <c r="AD14" i="24"/>
  <c r="AD15" i="24"/>
  <c r="AD16" i="24"/>
  <c r="AD17" i="24"/>
  <c r="AD4" i="24"/>
  <c r="AB17" i="44"/>
  <c r="AC19" i="48"/>
  <c r="AB6" i="37"/>
  <c r="AB7" i="37"/>
  <c r="AB4" i="37"/>
  <c r="AB18" i="44"/>
  <c r="AC20" i="48"/>
  <c r="AC6" i="48"/>
  <c r="AC40" i="48"/>
  <c r="AB7" i="48"/>
  <c r="AB8" i="48"/>
  <c r="AB9" i="48"/>
  <c r="AB10" i="48"/>
  <c r="AB11" i="48"/>
  <c r="AB12" i="48"/>
  <c r="AA11" i="44"/>
  <c r="AB13" i="48"/>
  <c r="AA12" i="44"/>
  <c r="AB14" i="48"/>
  <c r="AA13" i="44"/>
  <c r="AB15" i="48"/>
  <c r="AA14" i="44"/>
  <c r="AB16" i="48"/>
  <c r="AA15" i="44"/>
  <c r="AB17" i="48"/>
  <c r="AA16" i="44"/>
  <c r="AB18" i="48"/>
  <c r="AC13" i="24"/>
  <c r="AC14" i="24"/>
  <c r="AC15" i="24"/>
  <c r="AC16" i="24"/>
  <c r="AC17" i="24"/>
  <c r="AC4" i="24"/>
  <c r="AA17" i="44"/>
  <c r="AB19" i="48"/>
  <c r="AA6" i="37"/>
  <c r="AA7" i="37"/>
  <c r="AA4" i="37"/>
  <c r="AA18" i="44"/>
  <c r="AB20" i="48"/>
  <c r="AB6" i="48"/>
  <c r="AB40" i="48"/>
  <c r="AA7" i="48"/>
  <c r="AA8" i="48"/>
  <c r="AA9" i="48"/>
  <c r="AA10" i="48"/>
  <c r="AA11" i="48"/>
  <c r="AA12" i="48"/>
  <c r="Z11" i="44"/>
  <c r="AA13" i="48"/>
  <c r="Z12" i="44"/>
  <c r="AA14" i="48"/>
  <c r="Z13" i="44"/>
  <c r="AA15" i="48"/>
  <c r="Z14" i="44"/>
  <c r="AA16" i="48"/>
  <c r="Z15" i="44"/>
  <c r="AA17" i="48"/>
  <c r="Z16" i="44"/>
  <c r="AA18" i="48"/>
  <c r="AB13" i="24"/>
  <c r="AB14" i="24"/>
  <c r="AB15" i="24"/>
  <c r="AB16" i="24"/>
  <c r="AB17" i="24"/>
  <c r="AB4" i="24"/>
  <c r="Z17" i="44"/>
  <c r="AA19" i="48"/>
  <c r="Z6" i="37"/>
  <c r="Z7" i="37"/>
  <c r="Z4" i="37"/>
  <c r="Z18" i="44"/>
  <c r="AA20" i="48"/>
  <c r="AA6" i="48"/>
  <c r="AA40" i="48"/>
  <c r="Z7" i="48"/>
  <c r="Z8" i="48"/>
  <c r="Z9" i="48"/>
  <c r="Z10" i="48"/>
  <c r="Z11" i="48"/>
  <c r="Z12" i="48"/>
  <c r="Y11" i="44"/>
  <c r="Z13" i="48"/>
  <c r="Y12" i="44"/>
  <c r="Z14" i="48"/>
  <c r="Y13" i="44"/>
  <c r="Z15" i="48"/>
  <c r="Y14" i="44"/>
  <c r="Z16" i="48"/>
  <c r="Y15" i="44"/>
  <c r="Z17" i="48"/>
  <c r="Y16" i="44"/>
  <c r="Z18" i="48"/>
  <c r="AA13" i="24"/>
  <c r="AA14" i="24"/>
  <c r="AA15" i="24"/>
  <c r="AA16" i="24"/>
  <c r="AA17" i="24"/>
  <c r="AA4" i="24"/>
  <c r="Y17" i="44"/>
  <c r="Z19" i="48"/>
  <c r="Y6" i="37"/>
  <c r="Y7" i="37"/>
  <c r="Y4" i="37"/>
  <c r="Y18" i="44"/>
  <c r="Z20" i="48"/>
  <c r="Z6" i="48"/>
  <c r="Z40" i="48"/>
  <c r="Y7" i="48"/>
  <c r="Y8" i="48"/>
  <c r="Y9" i="48"/>
  <c r="Y10" i="48"/>
  <c r="Y11" i="48"/>
  <c r="Y12" i="48"/>
  <c r="X11" i="44"/>
  <c r="Y13" i="48"/>
  <c r="X12" i="44"/>
  <c r="Y14" i="48"/>
  <c r="X13" i="44"/>
  <c r="Y15" i="48"/>
  <c r="X14" i="44"/>
  <c r="Y16" i="48"/>
  <c r="X15" i="44"/>
  <c r="Y17" i="48"/>
  <c r="X16" i="44"/>
  <c r="Y18" i="48"/>
  <c r="Z13" i="24"/>
  <c r="Z14" i="24"/>
  <c r="Z15" i="24"/>
  <c r="Z16" i="24"/>
  <c r="Z17" i="24"/>
  <c r="Z4" i="24"/>
  <c r="X17" i="44"/>
  <c r="Y19" i="48"/>
  <c r="X6" i="37"/>
  <c r="X7" i="37"/>
  <c r="X4" i="37"/>
  <c r="X18" i="44"/>
  <c r="Y20" i="48"/>
  <c r="Y6" i="48"/>
  <c r="Y40" i="48"/>
  <c r="X7" i="48"/>
  <c r="X8" i="48"/>
  <c r="X9" i="48"/>
  <c r="X10" i="48"/>
  <c r="X11" i="48"/>
  <c r="X12" i="48"/>
  <c r="W11" i="44"/>
  <c r="X13" i="48"/>
  <c r="W12" i="44"/>
  <c r="X14" i="48"/>
  <c r="W13" i="44"/>
  <c r="X15" i="48"/>
  <c r="W14" i="44"/>
  <c r="X16" i="48"/>
  <c r="W15" i="44"/>
  <c r="X17" i="48"/>
  <c r="W16" i="44"/>
  <c r="X18" i="48"/>
  <c r="Y13" i="24"/>
  <c r="Y14" i="24"/>
  <c r="Y15" i="24"/>
  <c r="Y16" i="24"/>
  <c r="Y17" i="24"/>
  <c r="Y4" i="24"/>
  <c r="W17" i="44"/>
  <c r="X19" i="48"/>
  <c r="W6" i="37"/>
  <c r="W7" i="37"/>
  <c r="W4" i="37"/>
  <c r="W18" i="44"/>
  <c r="X20" i="48"/>
  <c r="X6" i="48"/>
  <c r="X40" i="48"/>
  <c r="W7" i="48"/>
  <c r="W8" i="48"/>
  <c r="W9" i="48"/>
  <c r="W10" i="48"/>
  <c r="W11" i="48"/>
  <c r="W12" i="48"/>
  <c r="V11" i="44"/>
  <c r="W13" i="48"/>
  <c r="V12" i="44"/>
  <c r="W14" i="48"/>
  <c r="V13" i="44"/>
  <c r="W15" i="48"/>
  <c r="V14" i="44"/>
  <c r="W16" i="48"/>
  <c r="V15" i="44"/>
  <c r="W17" i="48"/>
  <c r="V16" i="44"/>
  <c r="W18" i="48"/>
  <c r="X13" i="24"/>
  <c r="X14" i="24"/>
  <c r="X15" i="24"/>
  <c r="X16" i="24"/>
  <c r="X17" i="24"/>
  <c r="X4" i="24"/>
  <c r="V17" i="44"/>
  <c r="W19" i="48"/>
  <c r="V6" i="37"/>
  <c r="V7" i="37"/>
  <c r="V4" i="37"/>
  <c r="V18" i="44"/>
  <c r="W20" i="48"/>
  <c r="W6" i="48"/>
  <c r="W40" i="48"/>
  <c r="V7" i="48"/>
  <c r="V8" i="48"/>
  <c r="V9" i="48"/>
  <c r="V10" i="48"/>
  <c r="V11" i="48"/>
  <c r="V12" i="48"/>
  <c r="U11" i="44"/>
  <c r="V13" i="48"/>
  <c r="U12" i="44"/>
  <c r="V14" i="48"/>
  <c r="U13" i="44"/>
  <c r="V15" i="48"/>
  <c r="U14" i="44"/>
  <c r="V16" i="48"/>
  <c r="U15" i="44"/>
  <c r="V17" i="48"/>
  <c r="U16" i="44"/>
  <c r="V18" i="48"/>
  <c r="W13" i="24"/>
  <c r="W14" i="24"/>
  <c r="W15" i="24"/>
  <c r="W16" i="24"/>
  <c r="W17" i="24"/>
  <c r="W4" i="24"/>
  <c r="U17" i="44"/>
  <c r="V19" i="48"/>
  <c r="U6" i="37"/>
  <c r="U7" i="37"/>
  <c r="U4" i="37"/>
  <c r="U18" i="44"/>
  <c r="V20" i="48"/>
  <c r="V6" i="48"/>
  <c r="V40" i="48"/>
  <c r="U7" i="48"/>
  <c r="U8" i="48"/>
  <c r="U9" i="48"/>
  <c r="U10" i="48"/>
  <c r="U11" i="48"/>
  <c r="U12" i="48"/>
  <c r="T11" i="44"/>
  <c r="U13" i="48"/>
  <c r="T12" i="44"/>
  <c r="U14" i="48"/>
  <c r="T13" i="44"/>
  <c r="U15" i="48"/>
  <c r="T14" i="44"/>
  <c r="U16" i="48"/>
  <c r="T15" i="44"/>
  <c r="U17" i="48"/>
  <c r="T16" i="44"/>
  <c r="U18" i="48"/>
  <c r="V13" i="24"/>
  <c r="V14" i="24"/>
  <c r="V15" i="24"/>
  <c r="V16" i="24"/>
  <c r="V17" i="24"/>
  <c r="V4" i="24"/>
  <c r="T17" i="44"/>
  <c r="U19" i="48"/>
  <c r="T6" i="37"/>
  <c r="T7" i="37"/>
  <c r="T4" i="37"/>
  <c r="T18" i="44"/>
  <c r="U20" i="48"/>
  <c r="U6" i="48"/>
  <c r="U40" i="48"/>
  <c r="T7" i="48"/>
  <c r="T8" i="48"/>
  <c r="T9" i="48"/>
  <c r="T10" i="48"/>
  <c r="T11" i="48"/>
  <c r="T12" i="48"/>
  <c r="S11" i="44"/>
  <c r="T13" i="48"/>
  <c r="S12" i="44"/>
  <c r="T14" i="48"/>
  <c r="S13" i="44"/>
  <c r="T15" i="48"/>
  <c r="S14" i="44"/>
  <c r="T16" i="48"/>
  <c r="S15" i="44"/>
  <c r="T17" i="48"/>
  <c r="S16" i="44"/>
  <c r="T18" i="48"/>
  <c r="U13" i="24"/>
  <c r="U14" i="24"/>
  <c r="U15" i="24"/>
  <c r="U16" i="24"/>
  <c r="U17" i="24"/>
  <c r="U4" i="24"/>
  <c r="S17" i="44"/>
  <c r="T19" i="48"/>
  <c r="S6" i="37"/>
  <c r="S7" i="37"/>
  <c r="S4" i="37"/>
  <c r="S18" i="44"/>
  <c r="T20" i="48"/>
  <c r="T6" i="48"/>
  <c r="T40" i="48"/>
  <c r="S7" i="48"/>
  <c r="S8" i="48"/>
  <c r="S9" i="48"/>
  <c r="S10" i="48"/>
  <c r="S11" i="48"/>
  <c r="S12" i="48"/>
  <c r="R11" i="44"/>
  <c r="S13" i="48"/>
  <c r="R12" i="44"/>
  <c r="S14" i="48"/>
  <c r="R13" i="44"/>
  <c r="S15" i="48"/>
  <c r="R14" i="44"/>
  <c r="S16" i="48"/>
  <c r="R15" i="44"/>
  <c r="S17" i="48"/>
  <c r="R16" i="44"/>
  <c r="S18" i="48"/>
  <c r="T13" i="24"/>
  <c r="T14" i="24"/>
  <c r="T15" i="24"/>
  <c r="T16" i="24"/>
  <c r="T17" i="24"/>
  <c r="T4" i="24"/>
  <c r="R17" i="44"/>
  <c r="S19" i="48"/>
  <c r="R6" i="37"/>
  <c r="R7" i="37"/>
  <c r="R4" i="37"/>
  <c r="R18" i="44"/>
  <c r="S20" i="48"/>
  <c r="S6" i="48"/>
  <c r="S40" i="48"/>
  <c r="R7" i="48"/>
  <c r="R8" i="48"/>
  <c r="R9" i="48"/>
  <c r="R10" i="48"/>
  <c r="R11" i="48"/>
  <c r="R12" i="48"/>
  <c r="Q11" i="44"/>
  <c r="R13" i="48"/>
  <c r="Q12" i="44"/>
  <c r="R14" i="48"/>
  <c r="Q13" i="44"/>
  <c r="R15" i="48"/>
  <c r="Q14" i="44"/>
  <c r="R16" i="48"/>
  <c r="Q15" i="44"/>
  <c r="R17" i="48"/>
  <c r="Q16" i="44"/>
  <c r="R18" i="48"/>
  <c r="S13" i="24"/>
  <c r="S14" i="24"/>
  <c r="S15" i="24"/>
  <c r="S16" i="24"/>
  <c r="S17" i="24"/>
  <c r="S4" i="24"/>
  <c r="Q17" i="44"/>
  <c r="R19" i="48"/>
  <c r="Q6" i="37"/>
  <c r="Q7" i="37"/>
  <c r="Q4" i="37"/>
  <c r="Q18" i="44"/>
  <c r="R20" i="48"/>
  <c r="R6" i="48"/>
  <c r="R40" i="48"/>
  <c r="Q7" i="48"/>
  <c r="Q8" i="48"/>
  <c r="Q9" i="48"/>
  <c r="Q10" i="48"/>
  <c r="Q11" i="48"/>
  <c r="Q12" i="48"/>
  <c r="P11" i="44"/>
  <c r="Q13" i="48"/>
  <c r="P12" i="44"/>
  <c r="Q14" i="48"/>
  <c r="P13" i="44"/>
  <c r="Q15" i="48"/>
  <c r="P14" i="44"/>
  <c r="Q16" i="48"/>
  <c r="P15" i="44"/>
  <c r="Q17" i="48"/>
  <c r="P16" i="44"/>
  <c r="Q18" i="48"/>
  <c r="R13" i="24"/>
  <c r="R14" i="24"/>
  <c r="R15" i="24"/>
  <c r="R16" i="24"/>
  <c r="R17" i="24"/>
  <c r="R4" i="24"/>
  <c r="P17" i="44"/>
  <c r="Q19" i="48"/>
  <c r="P6" i="37"/>
  <c r="P7" i="37"/>
  <c r="P4" i="37"/>
  <c r="P18" i="44"/>
  <c r="Q20" i="48"/>
  <c r="Q6" i="48"/>
  <c r="Q40" i="48"/>
  <c r="P7" i="48"/>
  <c r="P8" i="48"/>
  <c r="P9" i="48"/>
  <c r="P10" i="48"/>
  <c r="P11" i="48"/>
  <c r="P12" i="48"/>
  <c r="O11" i="44"/>
  <c r="P13" i="48"/>
  <c r="O12" i="44"/>
  <c r="P14" i="48"/>
  <c r="O13" i="44"/>
  <c r="P15" i="48"/>
  <c r="O14" i="44"/>
  <c r="P16" i="48"/>
  <c r="O15" i="44"/>
  <c r="P17" i="48"/>
  <c r="O16" i="44"/>
  <c r="P18" i="48"/>
  <c r="Q13" i="24"/>
  <c r="Q14" i="24"/>
  <c r="Q15" i="24"/>
  <c r="Q16" i="24"/>
  <c r="Q17" i="24"/>
  <c r="Q4" i="24"/>
  <c r="O17" i="44"/>
  <c r="P19" i="48"/>
  <c r="O6" i="37"/>
  <c r="O7" i="37"/>
  <c r="O4" i="37"/>
  <c r="O18" i="44"/>
  <c r="P20" i="48"/>
  <c r="P6" i="48"/>
  <c r="P40" i="48"/>
  <c r="O7" i="48"/>
  <c r="O8" i="48"/>
  <c r="O9" i="48"/>
  <c r="O10" i="48"/>
  <c r="O11" i="48"/>
  <c r="O12" i="48"/>
  <c r="N11" i="44"/>
  <c r="O13" i="48"/>
  <c r="N12" i="44"/>
  <c r="O14" i="48"/>
  <c r="N13" i="44"/>
  <c r="O15" i="48"/>
  <c r="N14" i="44"/>
  <c r="O16" i="48"/>
  <c r="N15" i="44"/>
  <c r="O17" i="48"/>
  <c r="N16" i="44"/>
  <c r="O18" i="48"/>
  <c r="P13" i="24"/>
  <c r="P14" i="24"/>
  <c r="P15" i="24"/>
  <c r="P16" i="24"/>
  <c r="P17" i="24"/>
  <c r="P4" i="24"/>
  <c r="N17" i="44"/>
  <c r="O19" i="48"/>
  <c r="N6" i="37"/>
  <c r="N7" i="37"/>
  <c r="N4" i="37"/>
  <c r="N18" i="44"/>
  <c r="O20" i="48"/>
  <c r="O6" i="48"/>
  <c r="O40" i="48"/>
  <c r="N7" i="48"/>
  <c r="N8" i="48"/>
  <c r="N9" i="48"/>
  <c r="N10" i="48"/>
  <c r="N11" i="48"/>
  <c r="N12" i="48"/>
  <c r="M11" i="44"/>
  <c r="N13" i="48"/>
  <c r="M12" i="44"/>
  <c r="N14" i="48"/>
  <c r="M13" i="44"/>
  <c r="N15" i="48"/>
  <c r="M14" i="44"/>
  <c r="N16" i="48"/>
  <c r="M15" i="44"/>
  <c r="N17" i="48"/>
  <c r="M16" i="44"/>
  <c r="N18" i="48"/>
  <c r="O13" i="24"/>
  <c r="O14" i="24"/>
  <c r="O15" i="24"/>
  <c r="O16" i="24"/>
  <c r="O17" i="24"/>
  <c r="O4" i="24"/>
  <c r="M17" i="44"/>
  <c r="N19" i="48"/>
  <c r="M6" i="37"/>
  <c r="M7" i="37"/>
  <c r="M4" i="37"/>
  <c r="M18" i="44"/>
  <c r="N20" i="48"/>
  <c r="N6" i="48"/>
  <c r="N40" i="48"/>
  <c r="M7" i="48"/>
  <c r="M8" i="48"/>
  <c r="M9" i="48"/>
  <c r="M10" i="48"/>
  <c r="M11" i="48"/>
  <c r="M12" i="48"/>
  <c r="L11" i="44"/>
  <c r="M13" i="48"/>
  <c r="L12" i="44"/>
  <c r="M14" i="48"/>
  <c r="L13" i="44"/>
  <c r="M15" i="48"/>
  <c r="L14" i="44"/>
  <c r="M16" i="48"/>
  <c r="L15" i="44"/>
  <c r="M17" i="48"/>
  <c r="L16" i="44"/>
  <c r="M18" i="48"/>
  <c r="N13" i="24"/>
  <c r="N14" i="24"/>
  <c r="N15" i="24"/>
  <c r="N16" i="24"/>
  <c r="N17" i="24"/>
  <c r="N4" i="24"/>
  <c r="L17" i="44"/>
  <c r="M19" i="48"/>
  <c r="L6" i="37"/>
  <c r="L7" i="37"/>
  <c r="L4" i="37"/>
  <c r="L18" i="44"/>
  <c r="M20" i="48"/>
  <c r="M6" i="48"/>
  <c r="M40" i="48"/>
  <c r="L7" i="48"/>
  <c r="L8" i="48"/>
  <c r="L9" i="48"/>
  <c r="L10" i="48"/>
  <c r="L11" i="48"/>
  <c r="L12" i="48"/>
  <c r="K11" i="44"/>
  <c r="L13" i="48"/>
  <c r="K12" i="44"/>
  <c r="L14" i="48"/>
  <c r="K13" i="44"/>
  <c r="L15" i="48"/>
  <c r="K14" i="44"/>
  <c r="L16" i="48"/>
  <c r="K15" i="44"/>
  <c r="L17" i="48"/>
  <c r="K16" i="44"/>
  <c r="L18" i="48"/>
  <c r="M13" i="24"/>
  <c r="M14" i="24"/>
  <c r="M15" i="24"/>
  <c r="M16" i="24"/>
  <c r="M17" i="24"/>
  <c r="M4" i="24"/>
  <c r="K17" i="44"/>
  <c r="L19" i="48"/>
  <c r="K6" i="37"/>
  <c r="K7" i="37"/>
  <c r="K4" i="37"/>
  <c r="K18" i="44"/>
  <c r="L20" i="48"/>
  <c r="L6" i="48"/>
  <c r="L40" i="48"/>
  <c r="K7" i="48"/>
  <c r="K8" i="48"/>
  <c r="K9" i="48"/>
  <c r="K10" i="48"/>
  <c r="K11" i="48"/>
  <c r="K12" i="48"/>
  <c r="J11" i="44"/>
  <c r="K13" i="48"/>
  <c r="J12" i="44"/>
  <c r="K14" i="48"/>
  <c r="J13" i="44"/>
  <c r="K15" i="48"/>
  <c r="J14" i="44"/>
  <c r="K16" i="48"/>
  <c r="J15" i="44"/>
  <c r="K17" i="48"/>
  <c r="J16" i="44"/>
  <c r="K18" i="48"/>
  <c r="L13" i="24"/>
  <c r="L14" i="24"/>
  <c r="L15" i="24"/>
  <c r="L16" i="24"/>
  <c r="L17" i="24"/>
  <c r="L4" i="24"/>
  <c r="J17" i="44"/>
  <c r="K19" i="48"/>
  <c r="J6" i="37"/>
  <c r="J7" i="37"/>
  <c r="J4" i="37"/>
  <c r="J18" i="44"/>
  <c r="K20" i="48"/>
  <c r="K6" i="48"/>
  <c r="K40" i="48"/>
  <c r="J7" i="48"/>
  <c r="J8" i="48"/>
  <c r="J9" i="48"/>
  <c r="J10" i="48"/>
  <c r="J11" i="48"/>
  <c r="J12" i="48"/>
  <c r="I11" i="44"/>
  <c r="J13" i="48"/>
  <c r="I12" i="44"/>
  <c r="J14" i="48"/>
  <c r="I13" i="44"/>
  <c r="J15" i="48"/>
  <c r="I14" i="44"/>
  <c r="J16" i="48"/>
  <c r="I15" i="44"/>
  <c r="J17" i="48"/>
  <c r="I16" i="44"/>
  <c r="J18" i="48"/>
  <c r="K13" i="24"/>
  <c r="K14" i="24"/>
  <c r="K15" i="24"/>
  <c r="K16" i="24"/>
  <c r="K17" i="24"/>
  <c r="K4" i="24"/>
  <c r="I17" i="44"/>
  <c r="J19" i="48"/>
  <c r="I6" i="37"/>
  <c r="I7" i="37"/>
  <c r="I4" i="37"/>
  <c r="I18" i="44"/>
  <c r="J20" i="48"/>
  <c r="J6" i="48"/>
  <c r="J40" i="48"/>
  <c r="I7" i="48"/>
  <c r="I8" i="48"/>
  <c r="I9" i="48"/>
  <c r="I10" i="48"/>
  <c r="I11" i="48"/>
  <c r="I12" i="48"/>
  <c r="H11" i="44"/>
  <c r="I13" i="48"/>
  <c r="H12" i="44"/>
  <c r="I14" i="48"/>
  <c r="H13" i="44"/>
  <c r="I15" i="48"/>
  <c r="H14" i="44"/>
  <c r="I16" i="48"/>
  <c r="H15" i="44"/>
  <c r="I17" i="48"/>
  <c r="H16" i="44"/>
  <c r="I18" i="48"/>
  <c r="J13" i="24"/>
  <c r="J14" i="24"/>
  <c r="J15" i="24"/>
  <c r="J16" i="24"/>
  <c r="J17" i="24"/>
  <c r="J4" i="24"/>
  <c r="H17" i="44"/>
  <c r="I19" i="48"/>
  <c r="H6" i="37"/>
  <c r="H7" i="37"/>
  <c r="H4" i="37"/>
  <c r="H18" i="44"/>
  <c r="I20" i="48"/>
  <c r="I6" i="48"/>
  <c r="I40" i="48"/>
  <c r="H7" i="48"/>
  <c r="H8" i="48"/>
  <c r="H9" i="48"/>
  <c r="H10" i="48"/>
  <c r="H11" i="48"/>
  <c r="H12" i="48"/>
  <c r="G11" i="44"/>
  <c r="H13" i="48"/>
  <c r="G12" i="44"/>
  <c r="H14" i="48"/>
  <c r="G13" i="44"/>
  <c r="H15" i="48"/>
  <c r="G14" i="44"/>
  <c r="H16" i="48"/>
  <c r="G15" i="44"/>
  <c r="H17" i="48"/>
  <c r="G16" i="44"/>
  <c r="H18" i="48"/>
  <c r="I13" i="24"/>
  <c r="I14" i="24"/>
  <c r="I15" i="24"/>
  <c r="I16" i="24"/>
  <c r="I17" i="24"/>
  <c r="I4" i="24"/>
  <c r="G17" i="44"/>
  <c r="H19" i="48"/>
  <c r="G6" i="37"/>
  <c r="G7" i="37"/>
  <c r="G4" i="37"/>
  <c r="G18" i="44"/>
  <c r="H20" i="48"/>
  <c r="H6" i="48"/>
  <c r="H40" i="48"/>
  <c r="G7" i="48"/>
  <c r="G8" i="48"/>
  <c r="G9" i="48"/>
  <c r="G10" i="48"/>
  <c r="G11" i="48"/>
  <c r="G12" i="48"/>
  <c r="F11" i="44"/>
  <c r="G13" i="48"/>
  <c r="F12" i="44"/>
  <c r="G14" i="48"/>
  <c r="F13" i="44"/>
  <c r="G15" i="48"/>
  <c r="F14" i="44"/>
  <c r="G16" i="48"/>
  <c r="F15" i="44"/>
  <c r="G17" i="48"/>
  <c r="F16" i="44"/>
  <c r="G18" i="48"/>
  <c r="H13" i="24"/>
  <c r="H14" i="24"/>
  <c r="H15" i="24"/>
  <c r="H16" i="24"/>
  <c r="H17" i="24"/>
  <c r="H4" i="24"/>
  <c r="F17" i="44"/>
  <c r="G19" i="48"/>
  <c r="F6" i="37"/>
  <c r="F7" i="37"/>
  <c r="F4" i="37"/>
  <c r="F18" i="44"/>
  <c r="G20" i="48"/>
  <c r="G6" i="48"/>
  <c r="G40" i="48"/>
  <c r="F7" i="48"/>
  <c r="F8" i="48"/>
  <c r="F9" i="48"/>
  <c r="F10" i="48"/>
  <c r="F11" i="48"/>
  <c r="F12" i="48"/>
  <c r="E11" i="44"/>
  <c r="F13" i="48"/>
  <c r="E12" i="44"/>
  <c r="F14" i="48"/>
  <c r="E13" i="44"/>
  <c r="F15" i="48"/>
  <c r="E14" i="44"/>
  <c r="F16" i="48"/>
  <c r="E15" i="44"/>
  <c r="F17" i="48"/>
  <c r="E16" i="44"/>
  <c r="F18" i="48"/>
  <c r="G13" i="24"/>
  <c r="G14" i="24"/>
  <c r="G15" i="24"/>
  <c r="G16" i="24"/>
  <c r="G17" i="24"/>
  <c r="G4" i="24"/>
  <c r="E17" i="44"/>
  <c r="F19" i="48"/>
  <c r="E6" i="37"/>
  <c r="E7" i="37"/>
  <c r="E4" i="37"/>
  <c r="E18" i="44"/>
  <c r="F20" i="48"/>
  <c r="F6" i="48"/>
  <c r="F40" i="48"/>
  <c r="E7" i="48"/>
  <c r="E8" i="48"/>
  <c r="E9" i="48"/>
  <c r="E10" i="48"/>
  <c r="E11" i="48"/>
  <c r="E12" i="48"/>
  <c r="D11" i="44"/>
  <c r="E13" i="48"/>
  <c r="D12" i="44"/>
  <c r="E14" i="48"/>
  <c r="D13" i="44"/>
  <c r="E15" i="48"/>
  <c r="D14" i="44"/>
  <c r="E16" i="48"/>
  <c r="D15" i="44"/>
  <c r="E17" i="48"/>
  <c r="D16" i="44"/>
  <c r="E18" i="48"/>
  <c r="F13" i="24"/>
  <c r="F14" i="24"/>
  <c r="F15" i="24"/>
  <c r="F16" i="24"/>
  <c r="F17" i="24"/>
  <c r="F4" i="24"/>
  <c r="D17" i="44"/>
  <c r="E19" i="48"/>
  <c r="D6" i="37"/>
  <c r="D7" i="37"/>
  <c r="D4" i="37"/>
  <c r="D18" i="44"/>
  <c r="E20" i="48"/>
  <c r="E6" i="48"/>
  <c r="E40" i="48"/>
  <c r="D40" i="48"/>
  <c r="BB39" i="48"/>
  <c r="BA39" i="48"/>
  <c r="AZ39" i="48"/>
  <c r="AY39" i="48"/>
  <c r="AX39" i="48"/>
  <c r="AW39" i="48"/>
  <c r="AV39" i="48"/>
  <c r="AU39" i="48"/>
  <c r="AT39" i="48"/>
  <c r="AS39" i="48"/>
  <c r="AR39" i="48"/>
  <c r="AQ39" i="48"/>
  <c r="AP39" i="48"/>
  <c r="AO39" i="48"/>
  <c r="AN39" i="48"/>
  <c r="AM39" i="48"/>
  <c r="AL39" i="48"/>
  <c r="AK39" i="48"/>
  <c r="AJ39" i="48"/>
  <c r="AI39" i="48"/>
  <c r="AH39" i="48"/>
  <c r="AG39" i="48"/>
  <c r="AF39" i="48"/>
  <c r="AE39" i="48"/>
  <c r="AD39" i="48"/>
  <c r="AC39" i="48"/>
  <c r="AB39" i="48"/>
  <c r="AA39" i="48"/>
  <c r="Z39" i="48"/>
  <c r="Y39" i="48"/>
  <c r="X39" i="48"/>
  <c r="W39" i="48"/>
  <c r="V39" i="48"/>
  <c r="U39" i="48"/>
  <c r="T39" i="48"/>
  <c r="S39" i="48"/>
  <c r="R39" i="48"/>
  <c r="Q39" i="48"/>
  <c r="P39" i="48"/>
  <c r="O39" i="48"/>
  <c r="N39" i="48"/>
  <c r="M39" i="48"/>
  <c r="L39" i="48"/>
  <c r="K39" i="48"/>
  <c r="J39" i="48"/>
  <c r="I39" i="48"/>
  <c r="H39" i="48"/>
  <c r="G39" i="48"/>
  <c r="F39" i="48"/>
  <c r="C34" i="44"/>
  <c r="D36" i="48"/>
  <c r="D38" i="48"/>
  <c r="BC38" i="48"/>
  <c r="E37" i="48"/>
  <c r="F37" i="48"/>
  <c r="G37" i="48"/>
  <c r="H37" i="48"/>
  <c r="I37" i="48"/>
  <c r="J37" i="48"/>
  <c r="K37" i="48"/>
  <c r="L37" i="48"/>
  <c r="M37" i="48"/>
  <c r="N37" i="48"/>
  <c r="O37" i="48"/>
  <c r="P37" i="48"/>
  <c r="Q37" i="48"/>
  <c r="R37" i="48"/>
  <c r="S37" i="48"/>
  <c r="T37" i="48"/>
  <c r="U37" i="48"/>
  <c r="V37" i="48"/>
  <c r="W37" i="48"/>
  <c r="X37" i="48"/>
  <c r="Y37" i="48"/>
  <c r="Z37" i="48"/>
  <c r="AA37" i="48"/>
  <c r="AB37" i="48"/>
  <c r="AC37" i="48"/>
  <c r="AD37" i="48"/>
  <c r="AE37" i="48"/>
  <c r="AF37" i="48"/>
  <c r="AG37" i="48"/>
  <c r="AH37" i="48"/>
  <c r="AI37" i="48"/>
  <c r="AJ37" i="48"/>
  <c r="AK37" i="48"/>
  <c r="AL37" i="48"/>
  <c r="AM37" i="48"/>
  <c r="AN37" i="48"/>
  <c r="AO37" i="48"/>
  <c r="AP37" i="48"/>
  <c r="AQ37" i="48"/>
  <c r="AR37" i="48"/>
  <c r="AS37" i="48"/>
  <c r="AT37" i="48"/>
  <c r="AU37" i="48"/>
  <c r="AV37" i="48"/>
  <c r="AW37" i="48"/>
  <c r="AX37" i="48"/>
  <c r="AY37" i="48"/>
  <c r="AZ37" i="48"/>
  <c r="BA37" i="48"/>
  <c r="BB37" i="48"/>
  <c r="BC37" i="48"/>
  <c r="D37" i="48"/>
  <c r="BC36" i="48"/>
  <c r="E35" i="48"/>
  <c r="F35" i="48"/>
  <c r="G35" i="48"/>
  <c r="H35" i="48"/>
  <c r="I35" i="48"/>
  <c r="J35" i="48"/>
  <c r="K35" i="48"/>
  <c r="L35" i="48"/>
  <c r="M35" i="48"/>
  <c r="N35" i="48"/>
  <c r="O35" i="48"/>
  <c r="P35" i="48"/>
  <c r="Q35" i="48"/>
  <c r="R35" i="48"/>
  <c r="S35" i="48"/>
  <c r="T35" i="48"/>
  <c r="U35" i="48"/>
  <c r="V35" i="48"/>
  <c r="W35" i="48"/>
  <c r="X35" i="48"/>
  <c r="Y35" i="48"/>
  <c r="Z35" i="48"/>
  <c r="AA35" i="48"/>
  <c r="AB35" i="48"/>
  <c r="AC35" i="48"/>
  <c r="AD35" i="48"/>
  <c r="AE35" i="48"/>
  <c r="AF35" i="48"/>
  <c r="AG35" i="48"/>
  <c r="AH35" i="48"/>
  <c r="AI35" i="48"/>
  <c r="AJ35" i="48"/>
  <c r="AK35" i="48"/>
  <c r="AL35" i="48"/>
  <c r="AM35" i="48"/>
  <c r="AN35" i="48"/>
  <c r="AO35" i="48"/>
  <c r="AP35" i="48"/>
  <c r="AQ35" i="48"/>
  <c r="AR35" i="48"/>
  <c r="AS35" i="48"/>
  <c r="AT35" i="48"/>
  <c r="AU35" i="48"/>
  <c r="AV35" i="48"/>
  <c r="AW35" i="48"/>
  <c r="AX35" i="48"/>
  <c r="AY35" i="48"/>
  <c r="AZ35" i="48"/>
  <c r="BA35" i="48"/>
  <c r="BB35" i="48"/>
  <c r="BC35" i="48"/>
  <c r="D35" i="48"/>
  <c r="BC34" i="48"/>
  <c r="F1" i="48"/>
  <c r="G1" i="48"/>
  <c r="H1" i="48"/>
  <c r="I1" i="48"/>
  <c r="J1" i="48"/>
  <c r="K1" i="48"/>
  <c r="L1" i="48"/>
  <c r="M1" i="48"/>
  <c r="N1" i="48"/>
  <c r="O1" i="48"/>
  <c r="P1" i="48"/>
  <c r="Q1" i="48"/>
  <c r="R1" i="48"/>
  <c r="S1" i="48"/>
  <c r="T1" i="48"/>
  <c r="U1" i="48"/>
  <c r="V1" i="48"/>
  <c r="W1" i="48"/>
  <c r="X1" i="48"/>
  <c r="Y1" i="48"/>
  <c r="Z1" i="48"/>
  <c r="AA1" i="48"/>
  <c r="AB1" i="48"/>
  <c r="AC1" i="48"/>
  <c r="AD1" i="48"/>
  <c r="AE1" i="48"/>
  <c r="AF1" i="48"/>
  <c r="AG1" i="48"/>
  <c r="AH1" i="48"/>
  <c r="AI1" i="48"/>
  <c r="AJ1" i="48"/>
  <c r="AK1" i="48"/>
  <c r="AL1" i="48"/>
  <c r="AM1" i="48"/>
  <c r="AN1" i="48"/>
  <c r="AO1" i="48"/>
  <c r="AP1" i="48"/>
  <c r="AQ1" i="48"/>
  <c r="AR1" i="48"/>
  <c r="AS1" i="48"/>
  <c r="AT1" i="48"/>
  <c r="AU1" i="48"/>
  <c r="AV1" i="48"/>
  <c r="AW1" i="48"/>
  <c r="AX1" i="48"/>
  <c r="AY1" i="48"/>
  <c r="AZ1" i="48"/>
  <c r="BA1" i="48"/>
  <c r="BB1" i="48"/>
  <c r="F80" i="24"/>
  <c r="F81" i="24"/>
  <c r="G80" i="24"/>
  <c r="G81" i="24"/>
  <c r="H80" i="24"/>
  <c r="H81" i="24"/>
  <c r="I80" i="24"/>
  <c r="I81" i="24"/>
  <c r="J80" i="24"/>
  <c r="J81" i="24"/>
  <c r="K80" i="24"/>
  <c r="K81" i="24"/>
  <c r="L80" i="24"/>
  <c r="L81" i="24"/>
  <c r="M80" i="24"/>
  <c r="M81" i="24"/>
  <c r="N80" i="24"/>
  <c r="N81" i="24"/>
  <c r="O80" i="24"/>
  <c r="O81" i="24"/>
  <c r="P80" i="24"/>
  <c r="P81" i="24"/>
  <c r="Q80" i="24"/>
  <c r="Q81" i="24"/>
  <c r="R80" i="24"/>
  <c r="R81" i="24"/>
  <c r="S80" i="24"/>
  <c r="S81" i="24"/>
  <c r="T80" i="24"/>
  <c r="T81" i="24"/>
  <c r="U80" i="24"/>
  <c r="U81" i="24"/>
  <c r="V80" i="24"/>
  <c r="V81" i="24"/>
  <c r="W80" i="24"/>
  <c r="W81" i="24"/>
  <c r="X80" i="24"/>
  <c r="X81" i="24"/>
  <c r="Y80" i="24"/>
  <c r="Y81" i="24"/>
  <c r="Z80" i="24"/>
  <c r="Z81" i="24"/>
  <c r="AA80" i="24"/>
  <c r="AA81" i="24"/>
  <c r="AB80" i="24"/>
  <c r="AB81" i="24"/>
  <c r="AC80" i="24"/>
  <c r="AC81" i="24"/>
  <c r="AD80" i="24"/>
  <c r="AD81" i="24"/>
  <c r="AE80" i="24"/>
  <c r="AE81" i="24"/>
  <c r="AF80" i="24"/>
  <c r="AF81" i="24"/>
  <c r="AG80" i="24"/>
  <c r="AG81" i="24"/>
  <c r="AH80" i="24"/>
  <c r="AH81" i="24"/>
  <c r="AI80" i="24"/>
  <c r="AI81" i="24"/>
  <c r="AJ80" i="24"/>
  <c r="AJ81" i="24"/>
  <c r="AK80" i="24"/>
  <c r="AK81" i="24"/>
  <c r="AL80" i="24"/>
  <c r="AL81" i="24"/>
  <c r="AM80" i="24"/>
  <c r="AM81" i="24"/>
  <c r="AN80" i="24"/>
  <c r="AN81" i="24"/>
  <c r="AO80" i="24"/>
  <c r="AO81" i="24"/>
  <c r="AP80" i="24"/>
  <c r="AP81" i="24"/>
  <c r="AQ80" i="24"/>
  <c r="AQ81" i="24"/>
  <c r="AR80" i="24"/>
  <c r="AR81" i="24"/>
  <c r="AS80" i="24"/>
  <c r="AS81" i="24"/>
  <c r="AT80" i="24"/>
  <c r="AT81" i="24"/>
  <c r="AU80" i="24"/>
  <c r="AU81" i="24"/>
  <c r="AV80" i="24"/>
  <c r="AV81" i="24"/>
  <c r="AW80" i="24"/>
  <c r="AW81" i="24"/>
  <c r="AX80" i="24"/>
  <c r="AX81" i="24"/>
  <c r="AY80" i="24"/>
  <c r="AY81" i="24"/>
  <c r="AZ80" i="24"/>
  <c r="AZ81" i="24"/>
  <c r="BA80" i="24"/>
  <c r="BA81" i="24"/>
  <c r="BB80" i="24"/>
  <c r="BB81" i="24"/>
  <c r="BC80" i="24"/>
  <c r="BC81" i="24"/>
  <c r="F82" i="24"/>
  <c r="G82" i="24"/>
  <c r="H82" i="24"/>
  <c r="I82" i="24"/>
  <c r="J82" i="24"/>
  <c r="K82" i="24"/>
  <c r="L82" i="24"/>
  <c r="M82" i="24"/>
  <c r="N82" i="24"/>
  <c r="O82" i="24"/>
  <c r="P82" i="24"/>
  <c r="Q82" i="24"/>
  <c r="R82" i="24"/>
  <c r="S82" i="24"/>
  <c r="T82" i="24"/>
  <c r="U82" i="24"/>
  <c r="V82" i="24"/>
  <c r="W82" i="24"/>
  <c r="X82" i="24"/>
  <c r="Y82" i="24"/>
  <c r="Z82" i="24"/>
  <c r="AA82" i="24"/>
  <c r="AB82" i="24"/>
  <c r="AC82" i="24"/>
  <c r="AD82" i="24"/>
  <c r="AE82" i="24"/>
  <c r="AF82" i="24"/>
  <c r="AG82" i="24"/>
  <c r="AH82" i="24"/>
  <c r="AI82" i="24"/>
  <c r="AJ82" i="24"/>
  <c r="AK82" i="24"/>
  <c r="AL82" i="24"/>
  <c r="AM82" i="24"/>
  <c r="AN82" i="24"/>
  <c r="AO82" i="24"/>
  <c r="AP82" i="24"/>
  <c r="AQ82" i="24"/>
  <c r="AR82" i="24"/>
  <c r="AS82" i="24"/>
  <c r="AT82" i="24"/>
  <c r="AU82" i="24"/>
  <c r="AV82" i="24"/>
  <c r="AW82" i="24"/>
  <c r="AX82" i="24"/>
  <c r="AY82" i="24"/>
  <c r="AZ82" i="24"/>
  <c r="BA82" i="24"/>
  <c r="BB82" i="24"/>
  <c r="BC82" i="24"/>
  <c r="F83" i="24"/>
  <c r="G83" i="24"/>
  <c r="H83" i="24"/>
  <c r="I83" i="24"/>
  <c r="J83" i="24"/>
  <c r="K83" i="24"/>
  <c r="L83" i="24"/>
  <c r="M83" i="24"/>
  <c r="N83" i="24"/>
  <c r="O83" i="24"/>
  <c r="P83" i="24"/>
  <c r="Q83" i="24"/>
  <c r="R83" i="24"/>
  <c r="S83" i="24"/>
  <c r="T83" i="24"/>
  <c r="U83" i="24"/>
  <c r="V83" i="24"/>
  <c r="W83" i="24"/>
  <c r="X83" i="24"/>
  <c r="Y83" i="24"/>
  <c r="Z83" i="24"/>
  <c r="AA83" i="24"/>
  <c r="AB83" i="24"/>
  <c r="AC83" i="24"/>
  <c r="AD83" i="24"/>
  <c r="AE83" i="24"/>
  <c r="AF83" i="24"/>
  <c r="AG83" i="24"/>
  <c r="AH83" i="24"/>
  <c r="AI83" i="24"/>
  <c r="AJ83" i="24"/>
  <c r="AK83" i="24"/>
  <c r="AL83" i="24"/>
  <c r="AM83" i="24"/>
  <c r="AN83" i="24"/>
  <c r="AO83" i="24"/>
  <c r="AP83" i="24"/>
  <c r="AQ83" i="24"/>
  <c r="AR83" i="24"/>
  <c r="AS83" i="24"/>
  <c r="AT83" i="24"/>
  <c r="AU83" i="24"/>
  <c r="AV83" i="24"/>
  <c r="AW83" i="24"/>
  <c r="AX83" i="24"/>
  <c r="AY83" i="24"/>
  <c r="AZ83" i="24"/>
  <c r="BA83" i="24"/>
  <c r="BB83" i="24"/>
  <c r="BC83" i="24"/>
  <c r="F84" i="24"/>
  <c r="G84" i="24"/>
  <c r="H84" i="24"/>
  <c r="I84" i="24"/>
  <c r="J84" i="24"/>
  <c r="K84" i="24"/>
  <c r="L84" i="24"/>
  <c r="M84" i="24"/>
  <c r="N84" i="24"/>
  <c r="O84" i="24"/>
  <c r="P84" i="24"/>
  <c r="Q84" i="24"/>
  <c r="R84" i="24"/>
  <c r="S84" i="24"/>
  <c r="T84" i="24"/>
  <c r="U84" i="24"/>
  <c r="V84" i="24"/>
  <c r="W84" i="24"/>
  <c r="X84" i="24"/>
  <c r="Y84" i="24"/>
  <c r="Z84" i="24"/>
  <c r="AA84" i="24"/>
  <c r="AB84" i="24"/>
  <c r="AC84" i="24"/>
  <c r="AD84" i="24"/>
  <c r="AE84" i="24"/>
  <c r="AF84" i="24"/>
  <c r="AG84" i="24"/>
  <c r="AH84" i="24"/>
  <c r="AI84" i="24"/>
  <c r="AJ84" i="24"/>
  <c r="AK84" i="24"/>
  <c r="AL84" i="24"/>
  <c r="AM84" i="24"/>
  <c r="AN84" i="24"/>
  <c r="AO84" i="24"/>
  <c r="AP84" i="24"/>
  <c r="AQ84" i="24"/>
  <c r="AR84" i="24"/>
  <c r="AS84" i="24"/>
  <c r="AT84" i="24"/>
  <c r="AU84" i="24"/>
  <c r="AV84" i="24"/>
  <c r="AW84" i="24"/>
  <c r="AX84" i="24"/>
  <c r="AY84" i="24"/>
  <c r="AZ84" i="24"/>
  <c r="BA84" i="24"/>
  <c r="BB84" i="24"/>
  <c r="BC84" i="24"/>
  <c r="E80" i="24"/>
  <c r="E82" i="24"/>
  <c r="E83" i="24"/>
  <c r="E84" i="24"/>
  <c r="E81" i="24"/>
  <c r="BC79" i="24"/>
  <c r="F79" i="24"/>
  <c r="G79" i="24"/>
  <c r="H79" i="24"/>
  <c r="I79" i="24"/>
  <c r="J79" i="24"/>
  <c r="K79" i="24"/>
  <c r="L79" i="24"/>
  <c r="M79" i="24"/>
  <c r="N79" i="24"/>
  <c r="O79" i="24"/>
  <c r="P79" i="24"/>
  <c r="Q79" i="24"/>
  <c r="R79" i="24"/>
  <c r="S79" i="24"/>
  <c r="T79" i="24"/>
  <c r="U79" i="24"/>
  <c r="V79" i="24"/>
  <c r="W79" i="24"/>
  <c r="X79" i="24"/>
  <c r="Y79" i="24"/>
  <c r="Z79" i="24"/>
  <c r="AA79" i="24"/>
  <c r="AB79" i="24"/>
  <c r="AC79" i="24"/>
  <c r="AD79" i="24"/>
  <c r="AE79" i="24"/>
  <c r="AF79" i="24"/>
  <c r="AG79" i="24"/>
  <c r="AH79" i="24"/>
  <c r="AI79" i="24"/>
  <c r="AJ79" i="24"/>
  <c r="AK79" i="24"/>
  <c r="AL79" i="24"/>
  <c r="AM79" i="24"/>
  <c r="AN79" i="24"/>
  <c r="AO79" i="24"/>
  <c r="AP79" i="24"/>
  <c r="AQ79" i="24"/>
  <c r="AR79" i="24"/>
  <c r="AS79" i="24"/>
  <c r="AT79" i="24"/>
  <c r="AU79" i="24"/>
  <c r="AV79" i="24"/>
  <c r="AW79" i="24"/>
  <c r="AX79" i="24"/>
  <c r="AY79" i="24"/>
  <c r="AZ79" i="24"/>
  <c r="BA79" i="24"/>
  <c r="BB79" i="24"/>
  <c r="E79" i="24"/>
  <c r="E34" i="38"/>
  <c r="E41" i="38"/>
  <c r="E79" i="38"/>
  <c r="F34" i="38"/>
  <c r="F41" i="38"/>
  <c r="F79" i="38"/>
  <c r="G34" i="38"/>
  <c r="G41" i="38"/>
  <c r="G79" i="38"/>
  <c r="H34" i="38"/>
  <c r="H41" i="38"/>
  <c r="H79" i="38"/>
  <c r="I34" i="38"/>
  <c r="I41" i="38"/>
  <c r="I79" i="38"/>
  <c r="J34" i="38"/>
  <c r="J41" i="38"/>
  <c r="J79" i="38"/>
  <c r="K34" i="38"/>
  <c r="K41" i="38"/>
  <c r="K79" i="38"/>
  <c r="L34" i="38"/>
  <c r="L41" i="38"/>
  <c r="L79" i="38"/>
  <c r="M34" i="38"/>
  <c r="M41" i="38"/>
  <c r="M79" i="38"/>
  <c r="N34" i="38"/>
  <c r="N41" i="38"/>
  <c r="N79" i="38"/>
  <c r="O34" i="38"/>
  <c r="O41" i="38"/>
  <c r="O79" i="38"/>
  <c r="P34" i="38"/>
  <c r="P41" i="38"/>
  <c r="P79" i="38"/>
  <c r="Q34" i="38"/>
  <c r="Q41" i="38"/>
  <c r="Q79" i="38"/>
  <c r="R34" i="38"/>
  <c r="R41" i="38"/>
  <c r="R79" i="38"/>
  <c r="S34" i="38"/>
  <c r="S41" i="38"/>
  <c r="S79" i="38"/>
  <c r="T34" i="38"/>
  <c r="T41" i="38"/>
  <c r="T79" i="38"/>
  <c r="U34" i="38"/>
  <c r="U41" i="38"/>
  <c r="U79" i="38"/>
  <c r="V34" i="38"/>
  <c r="V41" i="38"/>
  <c r="V79" i="38"/>
  <c r="W34" i="38"/>
  <c r="W41" i="38"/>
  <c r="W79" i="38"/>
  <c r="X34" i="38"/>
  <c r="X41" i="38"/>
  <c r="X79" i="38"/>
  <c r="Y34" i="38"/>
  <c r="Y41" i="38"/>
  <c r="Y79" i="38"/>
  <c r="Z34" i="38"/>
  <c r="Z41" i="38"/>
  <c r="Z79" i="38"/>
  <c r="AA34" i="38"/>
  <c r="AA41" i="38"/>
  <c r="AA79" i="38"/>
  <c r="AB34" i="38"/>
  <c r="AB41" i="38"/>
  <c r="AB79" i="38"/>
  <c r="AC34" i="38"/>
  <c r="AC41" i="38"/>
  <c r="AC79" i="38"/>
  <c r="AD34" i="38"/>
  <c r="AD41" i="38"/>
  <c r="AD79" i="38"/>
  <c r="AE34" i="38"/>
  <c r="AE41" i="38"/>
  <c r="AE79" i="38"/>
  <c r="AF34" i="38"/>
  <c r="AF41" i="38"/>
  <c r="AF79" i="38"/>
  <c r="AG34" i="38"/>
  <c r="AG41" i="38"/>
  <c r="AG79" i="38"/>
  <c r="AH34" i="38"/>
  <c r="AH41" i="38"/>
  <c r="AH79" i="38"/>
  <c r="AI34" i="38"/>
  <c r="AI41" i="38"/>
  <c r="AI79" i="38"/>
  <c r="AJ34" i="38"/>
  <c r="AJ41" i="38"/>
  <c r="AJ79" i="38"/>
  <c r="AK34" i="38"/>
  <c r="AK41" i="38"/>
  <c r="AK79" i="38"/>
  <c r="AL34" i="38"/>
  <c r="AL41" i="38"/>
  <c r="AL79" i="38"/>
  <c r="AM34" i="38"/>
  <c r="AM41" i="38"/>
  <c r="AM79" i="38"/>
  <c r="AN34" i="38"/>
  <c r="AN41" i="38"/>
  <c r="AN79" i="38"/>
  <c r="AO34" i="38"/>
  <c r="AO41" i="38"/>
  <c r="AO79" i="38"/>
  <c r="AP34" i="38"/>
  <c r="AP41" i="38"/>
  <c r="AP79" i="38"/>
  <c r="AQ34" i="38"/>
  <c r="AQ41" i="38"/>
  <c r="AQ79" i="38"/>
  <c r="AR34" i="38"/>
  <c r="AR41" i="38"/>
  <c r="AR79" i="38"/>
  <c r="AS34" i="38"/>
  <c r="AS41" i="38"/>
  <c r="AS79" i="38"/>
  <c r="AT34" i="38"/>
  <c r="AT41" i="38"/>
  <c r="AT79" i="38"/>
  <c r="AU34" i="38"/>
  <c r="AU41" i="38"/>
  <c r="AU79" i="38"/>
  <c r="AV34" i="38"/>
  <c r="AV41" i="38"/>
  <c r="AV79" i="38"/>
  <c r="AW34" i="38"/>
  <c r="AW41" i="38"/>
  <c r="AW79" i="38"/>
  <c r="AX34" i="38"/>
  <c r="AX41" i="38"/>
  <c r="AX79" i="38"/>
  <c r="AY34" i="38"/>
  <c r="AY41" i="38"/>
  <c r="AY79" i="38"/>
  <c r="AZ34" i="38"/>
  <c r="AZ41" i="38"/>
  <c r="AZ79" i="38"/>
  <c r="BA34" i="38"/>
  <c r="BA41" i="38"/>
  <c r="BA79" i="38"/>
  <c r="E48" i="38"/>
  <c r="E80" i="38"/>
  <c r="F48" i="38"/>
  <c r="F80" i="38"/>
  <c r="G48" i="38"/>
  <c r="G80" i="38"/>
  <c r="H48" i="38"/>
  <c r="H80" i="38"/>
  <c r="I48" i="38"/>
  <c r="I80" i="38"/>
  <c r="J48" i="38"/>
  <c r="J80" i="38"/>
  <c r="K48" i="38"/>
  <c r="K80" i="38"/>
  <c r="L48" i="38"/>
  <c r="L80" i="38"/>
  <c r="M48" i="38"/>
  <c r="M80" i="38"/>
  <c r="N48" i="38"/>
  <c r="N80" i="38"/>
  <c r="O48" i="38"/>
  <c r="O80" i="38"/>
  <c r="P48" i="38"/>
  <c r="P80" i="38"/>
  <c r="Q48" i="38"/>
  <c r="Q80" i="38"/>
  <c r="R48" i="38"/>
  <c r="R80" i="38"/>
  <c r="S48" i="38"/>
  <c r="S80" i="38"/>
  <c r="T48" i="38"/>
  <c r="T80" i="38"/>
  <c r="U48" i="38"/>
  <c r="U80" i="38"/>
  <c r="V48" i="38"/>
  <c r="V80" i="38"/>
  <c r="W48" i="38"/>
  <c r="W80" i="38"/>
  <c r="X48" i="38"/>
  <c r="X80" i="38"/>
  <c r="Y48" i="38"/>
  <c r="Y80" i="38"/>
  <c r="Z48" i="38"/>
  <c r="Z80" i="38"/>
  <c r="AA48" i="38"/>
  <c r="AA80" i="38"/>
  <c r="AB48" i="38"/>
  <c r="AB80" i="38"/>
  <c r="AC48" i="38"/>
  <c r="AC80" i="38"/>
  <c r="AD48" i="38"/>
  <c r="AD80" i="38"/>
  <c r="AE48" i="38"/>
  <c r="AE80" i="38"/>
  <c r="AF48" i="38"/>
  <c r="AF80" i="38"/>
  <c r="AG48" i="38"/>
  <c r="AG80" i="38"/>
  <c r="AH48" i="38"/>
  <c r="AH80" i="38"/>
  <c r="AI48" i="38"/>
  <c r="AI80" i="38"/>
  <c r="AJ48" i="38"/>
  <c r="AJ80" i="38"/>
  <c r="AK48" i="38"/>
  <c r="AK80" i="38"/>
  <c r="AL48" i="38"/>
  <c r="AL80" i="38"/>
  <c r="AM48" i="38"/>
  <c r="AM80" i="38"/>
  <c r="AN48" i="38"/>
  <c r="AN80" i="38"/>
  <c r="AO48" i="38"/>
  <c r="AO80" i="38"/>
  <c r="AP48" i="38"/>
  <c r="AP80" i="38"/>
  <c r="AQ48" i="38"/>
  <c r="AQ80" i="38"/>
  <c r="AR48" i="38"/>
  <c r="AR80" i="38"/>
  <c r="AS48" i="38"/>
  <c r="AS80" i="38"/>
  <c r="AT48" i="38"/>
  <c r="AT80" i="38"/>
  <c r="AU48" i="38"/>
  <c r="AU80" i="38"/>
  <c r="AV48" i="38"/>
  <c r="AV80" i="38"/>
  <c r="AW48" i="38"/>
  <c r="AW80" i="38"/>
  <c r="AX48" i="38"/>
  <c r="AX80" i="38"/>
  <c r="AY48" i="38"/>
  <c r="AY80" i="38"/>
  <c r="AZ48" i="38"/>
  <c r="AZ80" i="38"/>
  <c r="BA48" i="38"/>
  <c r="BA80" i="38"/>
  <c r="D34" i="38"/>
  <c r="D48" i="38"/>
  <c r="D80" i="38"/>
  <c r="D41" i="38"/>
  <c r="D79" i="38"/>
  <c r="C4" i="44"/>
  <c r="F8" i="10"/>
  <c r="F6" i="10"/>
  <c r="C7" i="46"/>
  <c r="C16" i="46"/>
  <c r="D22" i="45"/>
  <c r="C8" i="46"/>
  <c r="D27" i="45"/>
  <c r="C14" i="46"/>
  <c r="D30" i="45"/>
  <c r="C17" i="46"/>
  <c r="D26" i="45"/>
  <c r="C21" i="46"/>
  <c r="C9" i="46"/>
  <c r="C12" i="46"/>
  <c r="D19" i="45"/>
  <c r="C13" i="46"/>
  <c r="D20" i="45"/>
  <c r="C15" i="46"/>
  <c r="D21" i="45"/>
  <c r="C6" i="46"/>
  <c r="D28" i="45"/>
  <c r="C11" i="46"/>
  <c r="C5" i="46"/>
  <c r="C18" i="46"/>
  <c r="D17" i="45"/>
  <c r="C19" i="46"/>
  <c r="D25" i="45"/>
  <c r="C23" i="46"/>
  <c r="D18" i="45"/>
  <c r="C24" i="46"/>
  <c r="D13" i="45"/>
  <c r="C26" i="46"/>
  <c r="D15" i="45"/>
  <c r="C27" i="46"/>
  <c r="D14" i="45"/>
  <c r="C28" i="46"/>
  <c r="D16" i="45"/>
  <c r="C29" i="46"/>
  <c r="D31" i="45"/>
  <c r="C10" i="46"/>
  <c r="D29" i="45"/>
  <c r="C20" i="46"/>
  <c r="D24" i="45"/>
  <c r="C22" i="46"/>
  <c r="D23" i="45"/>
  <c r="C25" i="46"/>
  <c r="E16" i="46"/>
  <c r="E24" i="46"/>
  <c r="E18" i="46"/>
  <c r="G16" i="46"/>
  <c r="E17" i="46"/>
  <c r="E26" i="46"/>
  <c r="G17" i="46"/>
  <c r="E27" i="46"/>
  <c r="G18" i="46"/>
  <c r="E19" i="46"/>
  <c r="E28" i="46"/>
  <c r="E15" i="46"/>
  <c r="G19" i="46"/>
  <c r="E20" i="46"/>
  <c r="E29" i="46"/>
  <c r="E14" i="46"/>
  <c r="G20" i="46"/>
  <c r="E21" i="46"/>
  <c r="E8" i="46"/>
  <c r="E13" i="46"/>
  <c r="G21" i="46"/>
  <c r="E22" i="46"/>
  <c r="E10" i="46"/>
  <c r="E12" i="46"/>
  <c r="G22" i="46"/>
  <c r="E23" i="46"/>
  <c r="E11" i="46"/>
  <c r="G23" i="46"/>
  <c r="G24" i="46"/>
  <c r="E25" i="46"/>
  <c r="E9" i="46"/>
  <c r="G25" i="46"/>
  <c r="G26" i="46"/>
  <c r="E7" i="46"/>
  <c r="G27" i="46"/>
  <c r="E6" i="46"/>
  <c r="G28" i="46"/>
  <c r="E5" i="46"/>
  <c r="G29" i="46"/>
  <c r="G15" i="46"/>
  <c r="G1" i="23"/>
  <c r="H1" i="23"/>
  <c r="I1" i="23"/>
  <c r="J1" i="23"/>
  <c r="K1" i="23"/>
  <c r="L1" i="23"/>
  <c r="M1" i="23"/>
  <c r="N1" i="23"/>
  <c r="O1" i="23"/>
  <c r="P1" i="23"/>
  <c r="Q1" i="23"/>
  <c r="R1" i="23"/>
  <c r="S1" i="23"/>
  <c r="T1" i="23"/>
  <c r="U1" i="23"/>
  <c r="V1" i="23"/>
  <c r="W1" i="23"/>
  <c r="X1" i="23"/>
  <c r="Y1" i="23"/>
  <c r="Z1" i="23"/>
  <c r="AA1" i="23"/>
  <c r="AB1" i="23"/>
  <c r="AC1" i="23"/>
  <c r="AD1" i="23"/>
  <c r="AE1" i="23"/>
  <c r="AF1" i="23"/>
  <c r="AG1" i="23"/>
  <c r="AH1" i="23"/>
  <c r="AI1" i="23"/>
  <c r="AJ1" i="23"/>
  <c r="AK1" i="23"/>
  <c r="AL1" i="23"/>
  <c r="AM1" i="23"/>
  <c r="AN1" i="23"/>
  <c r="AO1" i="23"/>
  <c r="AP1" i="23"/>
  <c r="AQ1" i="23"/>
  <c r="AR1" i="23"/>
  <c r="AS1" i="23"/>
  <c r="AT1" i="23"/>
  <c r="AU1" i="23"/>
  <c r="AV1" i="23"/>
  <c r="AW1" i="23"/>
  <c r="AX1" i="23"/>
  <c r="AY1" i="23"/>
  <c r="AZ1" i="23"/>
  <c r="BA1" i="23"/>
  <c r="BB1" i="23"/>
  <c r="BC1" i="23"/>
  <c r="F1" i="10"/>
  <c r="G1" i="10"/>
  <c r="H1" i="10"/>
  <c r="I1" i="10"/>
  <c r="J1" i="10"/>
  <c r="K1" i="10"/>
  <c r="L1" i="10"/>
  <c r="M1" i="10"/>
  <c r="N1" i="10"/>
  <c r="O1" i="10"/>
  <c r="P1" i="10"/>
  <c r="Q1" i="10"/>
  <c r="R1" i="10"/>
  <c r="S1" i="10"/>
  <c r="T1" i="10"/>
  <c r="U1" i="10"/>
  <c r="V1" i="10"/>
  <c r="W1" i="10"/>
  <c r="X1" i="10"/>
  <c r="Y1" i="10"/>
  <c r="Z1" i="10"/>
  <c r="AA1" i="10"/>
  <c r="AB1" i="10"/>
  <c r="AC1" i="10"/>
  <c r="AD1" i="10"/>
  <c r="AE1" i="10"/>
  <c r="AF1" i="10"/>
  <c r="AG1" i="10"/>
  <c r="AH1" i="10"/>
  <c r="AI1" i="10"/>
  <c r="AJ1" i="10"/>
  <c r="AK1" i="10"/>
  <c r="AL1" i="10"/>
  <c r="AM1" i="10"/>
  <c r="AN1" i="10"/>
  <c r="AO1" i="10"/>
  <c r="AP1" i="10"/>
  <c r="AQ1" i="10"/>
  <c r="AR1" i="10"/>
  <c r="AS1" i="10"/>
  <c r="AT1" i="10"/>
  <c r="AU1" i="10"/>
  <c r="AV1" i="10"/>
  <c r="AW1" i="10"/>
  <c r="AX1" i="10"/>
  <c r="AY1" i="10"/>
  <c r="AZ1" i="10"/>
  <c r="BA1" i="10"/>
  <c r="BB1" i="10"/>
  <c r="E8" i="10"/>
  <c r="E6" i="10"/>
  <c r="C24" i="10"/>
  <c r="F50" i="10"/>
  <c r="F74" i="10"/>
  <c r="G50" i="10"/>
  <c r="G74" i="10"/>
  <c r="H50" i="10"/>
  <c r="H74" i="10"/>
  <c r="I50" i="10"/>
  <c r="I74" i="10"/>
  <c r="J50" i="10"/>
  <c r="J74" i="10"/>
  <c r="K50" i="10"/>
  <c r="K74" i="10"/>
  <c r="L50" i="10"/>
  <c r="L74" i="10"/>
  <c r="M50" i="10"/>
  <c r="M74" i="10"/>
  <c r="N50" i="10"/>
  <c r="N74" i="10"/>
  <c r="O50" i="10"/>
  <c r="O74" i="10"/>
  <c r="P50" i="10"/>
  <c r="P74" i="10"/>
  <c r="Q50" i="10"/>
  <c r="Q74" i="10"/>
  <c r="R50" i="10"/>
  <c r="R74" i="10"/>
  <c r="S50" i="10"/>
  <c r="S74" i="10"/>
  <c r="T50" i="10"/>
  <c r="T74" i="10"/>
  <c r="U50" i="10"/>
  <c r="U74" i="10"/>
  <c r="V50" i="10"/>
  <c r="V74" i="10"/>
  <c r="W50" i="10"/>
  <c r="W74" i="10"/>
  <c r="X50" i="10"/>
  <c r="X74" i="10"/>
  <c r="Y50" i="10"/>
  <c r="Y74" i="10"/>
  <c r="Z50" i="10"/>
  <c r="Z74" i="10"/>
  <c r="AA50" i="10"/>
  <c r="AA74" i="10"/>
  <c r="AB50" i="10"/>
  <c r="AB74" i="10"/>
  <c r="AC50" i="10"/>
  <c r="AC74" i="10"/>
  <c r="AD50" i="10"/>
  <c r="AD74" i="10"/>
  <c r="AE50" i="10"/>
  <c r="AE74" i="10"/>
  <c r="AF50" i="10"/>
  <c r="AF74" i="10"/>
  <c r="AG50" i="10"/>
  <c r="AG74" i="10"/>
  <c r="AH50" i="10"/>
  <c r="AH74" i="10"/>
  <c r="AI50" i="10"/>
  <c r="AI74" i="10"/>
  <c r="AJ50" i="10"/>
  <c r="AJ74" i="10"/>
  <c r="AK50" i="10"/>
  <c r="AK74" i="10"/>
  <c r="AL50" i="10"/>
  <c r="AL74" i="10"/>
  <c r="AM50" i="10"/>
  <c r="AM74" i="10"/>
  <c r="AN50" i="10"/>
  <c r="AN74" i="10"/>
  <c r="AO50" i="10"/>
  <c r="AO74" i="10"/>
  <c r="AP50" i="10"/>
  <c r="AP74" i="10"/>
  <c r="AQ50" i="10"/>
  <c r="AQ74" i="10"/>
  <c r="AR50" i="10"/>
  <c r="AR74" i="10"/>
  <c r="AS50" i="10"/>
  <c r="AS74" i="10"/>
  <c r="AT50" i="10"/>
  <c r="AT74" i="10"/>
  <c r="AU50" i="10"/>
  <c r="AU74" i="10"/>
  <c r="AV50" i="10"/>
  <c r="AV74" i="10"/>
  <c r="AW50" i="10"/>
  <c r="AW74" i="10"/>
  <c r="AX50" i="10"/>
  <c r="AX74" i="10"/>
  <c r="AY50" i="10"/>
  <c r="AY74" i="10"/>
  <c r="AZ50" i="10"/>
  <c r="AZ74" i="10"/>
  <c r="BA50" i="10"/>
  <c r="BA74" i="10"/>
  <c r="BB50" i="10"/>
  <c r="BB74" i="10"/>
  <c r="F75" i="10"/>
  <c r="G75" i="10"/>
  <c r="H75" i="10"/>
  <c r="I75" i="10"/>
  <c r="J75" i="10"/>
  <c r="K75" i="10"/>
  <c r="L75" i="10"/>
  <c r="M75" i="10"/>
  <c r="N75" i="10"/>
  <c r="O75" i="10"/>
  <c r="P75" i="10"/>
  <c r="Q75" i="10"/>
  <c r="R75" i="10"/>
  <c r="S75" i="10"/>
  <c r="T75" i="10"/>
  <c r="U75" i="10"/>
  <c r="V75" i="10"/>
  <c r="W75" i="10"/>
  <c r="X75" i="10"/>
  <c r="Y75" i="10"/>
  <c r="Z75" i="10"/>
  <c r="AA75" i="10"/>
  <c r="AB75" i="10"/>
  <c r="AC75" i="10"/>
  <c r="AD75" i="10"/>
  <c r="AE75" i="10"/>
  <c r="AF75" i="10"/>
  <c r="AG75" i="10"/>
  <c r="AH75" i="10"/>
  <c r="AI75" i="10"/>
  <c r="AJ75" i="10"/>
  <c r="AK75" i="10"/>
  <c r="AL75" i="10"/>
  <c r="AM75" i="10"/>
  <c r="AN75" i="10"/>
  <c r="AO75" i="10"/>
  <c r="AP75" i="10"/>
  <c r="AQ75" i="10"/>
  <c r="AR75" i="10"/>
  <c r="AS75" i="10"/>
  <c r="AT75" i="10"/>
  <c r="AU75" i="10"/>
  <c r="AV75" i="10"/>
  <c r="AW75" i="10"/>
  <c r="AX75" i="10"/>
  <c r="AY75" i="10"/>
  <c r="AZ75" i="10"/>
  <c r="BA75" i="10"/>
  <c r="BB75" i="10"/>
  <c r="F76" i="10"/>
  <c r="G76" i="10"/>
  <c r="H76" i="10"/>
  <c r="I76" i="10"/>
  <c r="J76" i="10"/>
  <c r="K76" i="10"/>
  <c r="L76" i="10"/>
  <c r="M76" i="10"/>
  <c r="N76" i="10"/>
  <c r="O76" i="10"/>
  <c r="P76" i="10"/>
  <c r="Q76" i="10"/>
  <c r="R76" i="10"/>
  <c r="S76" i="10"/>
  <c r="T76" i="10"/>
  <c r="U76" i="10"/>
  <c r="V76" i="10"/>
  <c r="W76" i="10"/>
  <c r="X76" i="10"/>
  <c r="Y76" i="10"/>
  <c r="Z76" i="10"/>
  <c r="AA76" i="10"/>
  <c r="AB76" i="10"/>
  <c r="AC76" i="10"/>
  <c r="AD76" i="10"/>
  <c r="AE76" i="10"/>
  <c r="AF76" i="10"/>
  <c r="AG76" i="10"/>
  <c r="AH76" i="10"/>
  <c r="AI76" i="10"/>
  <c r="AJ76" i="10"/>
  <c r="AK76" i="10"/>
  <c r="AL76" i="10"/>
  <c r="AM76" i="10"/>
  <c r="AN76" i="10"/>
  <c r="AO76" i="10"/>
  <c r="AP76" i="10"/>
  <c r="AQ76" i="10"/>
  <c r="AR76" i="10"/>
  <c r="AS76" i="10"/>
  <c r="AT76" i="10"/>
  <c r="AU76" i="10"/>
  <c r="AV76" i="10"/>
  <c r="AW76" i="10"/>
  <c r="AX76" i="10"/>
  <c r="AY76" i="10"/>
  <c r="AZ76" i="10"/>
  <c r="BA76" i="10"/>
  <c r="BB76" i="10"/>
  <c r="F77" i="10"/>
  <c r="G77" i="10"/>
  <c r="H77" i="10"/>
  <c r="I77" i="10"/>
  <c r="J77" i="10"/>
  <c r="K77" i="10"/>
  <c r="L77" i="10"/>
  <c r="M77" i="10"/>
  <c r="N77" i="10"/>
  <c r="O77" i="10"/>
  <c r="P77" i="10"/>
  <c r="Q77" i="10"/>
  <c r="R77" i="10"/>
  <c r="S77" i="10"/>
  <c r="T77" i="10"/>
  <c r="U77" i="10"/>
  <c r="V77" i="10"/>
  <c r="W77" i="10"/>
  <c r="X77" i="10"/>
  <c r="Y77" i="10"/>
  <c r="Z77" i="10"/>
  <c r="AA77" i="10"/>
  <c r="AB77" i="10"/>
  <c r="AC77" i="10"/>
  <c r="AD77" i="10"/>
  <c r="AE77" i="10"/>
  <c r="AF77" i="10"/>
  <c r="AG77" i="10"/>
  <c r="AH77" i="10"/>
  <c r="AI77" i="10"/>
  <c r="AJ77" i="10"/>
  <c r="AK77" i="10"/>
  <c r="AL77" i="10"/>
  <c r="AM77" i="10"/>
  <c r="AN77" i="10"/>
  <c r="AO77" i="10"/>
  <c r="AP77" i="10"/>
  <c r="AQ77" i="10"/>
  <c r="AR77" i="10"/>
  <c r="AS77" i="10"/>
  <c r="AT77" i="10"/>
  <c r="AU77" i="10"/>
  <c r="AV77" i="10"/>
  <c r="AW77" i="10"/>
  <c r="AX77" i="10"/>
  <c r="AY77" i="10"/>
  <c r="AZ77" i="10"/>
  <c r="BA77" i="10"/>
  <c r="BB77" i="10"/>
  <c r="F78" i="10"/>
  <c r="G78" i="10"/>
  <c r="H78" i="10"/>
  <c r="I78" i="10"/>
  <c r="J78" i="10"/>
  <c r="K78" i="10"/>
  <c r="L78" i="10"/>
  <c r="M78" i="10"/>
  <c r="N78" i="10"/>
  <c r="O78" i="10"/>
  <c r="P78" i="10"/>
  <c r="Q78" i="10"/>
  <c r="R78" i="10"/>
  <c r="S78" i="10"/>
  <c r="T78" i="10"/>
  <c r="U78" i="10"/>
  <c r="V78" i="10"/>
  <c r="W78" i="10"/>
  <c r="X78" i="10"/>
  <c r="Y78" i="10"/>
  <c r="Z78" i="10"/>
  <c r="AA78" i="10"/>
  <c r="AB78" i="10"/>
  <c r="AC78" i="10"/>
  <c r="AD78" i="10"/>
  <c r="AE78" i="10"/>
  <c r="AF78" i="10"/>
  <c r="AG78" i="10"/>
  <c r="AH78" i="10"/>
  <c r="AI78" i="10"/>
  <c r="AJ78" i="10"/>
  <c r="AK78" i="10"/>
  <c r="AL78" i="10"/>
  <c r="AM78" i="10"/>
  <c r="AN78" i="10"/>
  <c r="AO78" i="10"/>
  <c r="AP78" i="10"/>
  <c r="AQ78" i="10"/>
  <c r="AR78" i="10"/>
  <c r="AS78" i="10"/>
  <c r="AT78" i="10"/>
  <c r="AU78" i="10"/>
  <c r="AV78" i="10"/>
  <c r="AW78" i="10"/>
  <c r="AX78" i="10"/>
  <c r="AY78" i="10"/>
  <c r="AZ78" i="10"/>
  <c r="BA78" i="10"/>
  <c r="BB78" i="10"/>
  <c r="F79" i="10"/>
  <c r="G79" i="10"/>
  <c r="H79" i="10"/>
  <c r="I79" i="10"/>
  <c r="J79" i="10"/>
  <c r="K79" i="10"/>
  <c r="L79" i="10"/>
  <c r="M79" i="10"/>
  <c r="N79" i="10"/>
  <c r="O79" i="10"/>
  <c r="P79" i="10"/>
  <c r="Q79" i="10"/>
  <c r="R79" i="10"/>
  <c r="S79" i="10"/>
  <c r="T79" i="10"/>
  <c r="U79" i="10"/>
  <c r="V79" i="10"/>
  <c r="W79" i="10"/>
  <c r="X79" i="10"/>
  <c r="Y79" i="10"/>
  <c r="Z79" i="10"/>
  <c r="AA79" i="10"/>
  <c r="AB79" i="10"/>
  <c r="AC79" i="10"/>
  <c r="AD79" i="10"/>
  <c r="AE79" i="10"/>
  <c r="AF79" i="10"/>
  <c r="AG79" i="10"/>
  <c r="AH79" i="10"/>
  <c r="AI79" i="10"/>
  <c r="AJ79" i="10"/>
  <c r="AK79" i="10"/>
  <c r="AL79" i="10"/>
  <c r="AM79" i="10"/>
  <c r="AN79" i="10"/>
  <c r="AO79" i="10"/>
  <c r="AP79" i="10"/>
  <c r="AQ79" i="10"/>
  <c r="AR79" i="10"/>
  <c r="AS79" i="10"/>
  <c r="AT79" i="10"/>
  <c r="AU79" i="10"/>
  <c r="AV79" i="10"/>
  <c r="AW79" i="10"/>
  <c r="AX79" i="10"/>
  <c r="AY79" i="10"/>
  <c r="AZ79" i="10"/>
  <c r="BA79" i="10"/>
  <c r="BB79" i="10"/>
  <c r="F80" i="10"/>
  <c r="G80" i="10"/>
  <c r="H80" i="10"/>
  <c r="I80" i="10"/>
  <c r="J80" i="10"/>
  <c r="K80" i="10"/>
  <c r="L80" i="10"/>
  <c r="M80" i="10"/>
  <c r="N80" i="10"/>
  <c r="O80" i="10"/>
  <c r="P80" i="10"/>
  <c r="Q80" i="10"/>
  <c r="R80" i="10"/>
  <c r="S80" i="10"/>
  <c r="T80" i="10"/>
  <c r="U80" i="10"/>
  <c r="V80" i="10"/>
  <c r="W80" i="10"/>
  <c r="X80" i="10"/>
  <c r="Y80" i="10"/>
  <c r="Z80" i="10"/>
  <c r="AA80" i="10"/>
  <c r="AB80" i="10"/>
  <c r="AC80" i="10"/>
  <c r="AD80" i="10"/>
  <c r="AE80" i="10"/>
  <c r="AF80" i="10"/>
  <c r="AG80" i="10"/>
  <c r="AH80" i="10"/>
  <c r="AI80" i="10"/>
  <c r="AJ80" i="10"/>
  <c r="AK80" i="10"/>
  <c r="AL80" i="10"/>
  <c r="AM80" i="10"/>
  <c r="AN80" i="10"/>
  <c r="AO80" i="10"/>
  <c r="AP80" i="10"/>
  <c r="AQ80" i="10"/>
  <c r="AR80" i="10"/>
  <c r="AS80" i="10"/>
  <c r="AT80" i="10"/>
  <c r="AU80" i="10"/>
  <c r="AV80" i="10"/>
  <c r="AW80" i="10"/>
  <c r="AX80" i="10"/>
  <c r="AY80" i="10"/>
  <c r="AZ80" i="10"/>
  <c r="BA80" i="10"/>
  <c r="BB80" i="10"/>
  <c r="F81" i="10"/>
  <c r="G81" i="10"/>
  <c r="H81" i="10"/>
  <c r="I81" i="10"/>
  <c r="J81" i="10"/>
  <c r="K81" i="10"/>
  <c r="L81" i="10"/>
  <c r="M81" i="10"/>
  <c r="N81" i="10"/>
  <c r="O81" i="10"/>
  <c r="P81" i="10"/>
  <c r="Q81" i="10"/>
  <c r="R81" i="10"/>
  <c r="S81" i="10"/>
  <c r="T81" i="10"/>
  <c r="U81" i="10"/>
  <c r="V81" i="10"/>
  <c r="W81" i="10"/>
  <c r="X81" i="10"/>
  <c r="Y81" i="10"/>
  <c r="Z81" i="10"/>
  <c r="AA81" i="10"/>
  <c r="AB81" i="10"/>
  <c r="AC81" i="10"/>
  <c r="AD81" i="10"/>
  <c r="AE81" i="10"/>
  <c r="AF81" i="10"/>
  <c r="AG81" i="10"/>
  <c r="AH81" i="10"/>
  <c r="AI81" i="10"/>
  <c r="AJ81" i="10"/>
  <c r="AK81" i="10"/>
  <c r="AL81" i="10"/>
  <c r="AM81" i="10"/>
  <c r="AN81" i="10"/>
  <c r="AO81" i="10"/>
  <c r="AP81" i="10"/>
  <c r="AQ81" i="10"/>
  <c r="AR81" i="10"/>
  <c r="AS81" i="10"/>
  <c r="AT81" i="10"/>
  <c r="AU81" i="10"/>
  <c r="AV81" i="10"/>
  <c r="AW81" i="10"/>
  <c r="AX81" i="10"/>
  <c r="AY81" i="10"/>
  <c r="AZ81" i="10"/>
  <c r="BA81" i="10"/>
  <c r="BB81"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AK82" i="10"/>
  <c r="AL82" i="10"/>
  <c r="AM82" i="10"/>
  <c r="AN82" i="10"/>
  <c r="AO82" i="10"/>
  <c r="AP82" i="10"/>
  <c r="AQ82" i="10"/>
  <c r="AR82" i="10"/>
  <c r="AS82" i="10"/>
  <c r="AT82" i="10"/>
  <c r="AU82" i="10"/>
  <c r="AV82" i="10"/>
  <c r="AW82" i="10"/>
  <c r="AX82" i="10"/>
  <c r="AY82" i="10"/>
  <c r="AZ82" i="10"/>
  <c r="BA82" i="10"/>
  <c r="BB82" i="10"/>
  <c r="F59" i="10"/>
  <c r="F83" i="10"/>
  <c r="G59" i="10"/>
  <c r="G83" i="10"/>
  <c r="H59" i="10"/>
  <c r="H83" i="10"/>
  <c r="I59" i="10"/>
  <c r="I83" i="10"/>
  <c r="J59" i="10"/>
  <c r="J83" i="10"/>
  <c r="K59" i="10"/>
  <c r="K83" i="10"/>
  <c r="L59" i="10"/>
  <c r="L83" i="10"/>
  <c r="M59" i="10"/>
  <c r="M83" i="10"/>
  <c r="N59" i="10"/>
  <c r="N83" i="10"/>
  <c r="O59" i="10"/>
  <c r="O83" i="10"/>
  <c r="P59" i="10"/>
  <c r="P83" i="10"/>
  <c r="Q59" i="10"/>
  <c r="Q83" i="10"/>
  <c r="R59" i="10"/>
  <c r="R83" i="10"/>
  <c r="S59" i="10"/>
  <c r="S83" i="10"/>
  <c r="T59" i="10"/>
  <c r="T83" i="10"/>
  <c r="U59" i="10"/>
  <c r="U83" i="10"/>
  <c r="V59" i="10"/>
  <c r="V83" i="10"/>
  <c r="W59" i="10"/>
  <c r="W83" i="10"/>
  <c r="X59" i="10"/>
  <c r="X83" i="10"/>
  <c r="Y59" i="10"/>
  <c r="Y83" i="10"/>
  <c r="Z59" i="10"/>
  <c r="Z83" i="10"/>
  <c r="AA59" i="10"/>
  <c r="AA83" i="10"/>
  <c r="AB59" i="10"/>
  <c r="AB83" i="10"/>
  <c r="AC59" i="10"/>
  <c r="AC83" i="10"/>
  <c r="AD59" i="10"/>
  <c r="AD83" i="10"/>
  <c r="AE59" i="10"/>
  <c r="AE83" i="10"/>
  <c r="AF59" i="10"/>
  <c r="AF83" i="10"/>
  <c r="AG59" i="10"/>
  <c r="AG83" i="10"/>
  <c r="AH59" i="10"/>
  <c r="AH83" i="10"/>
  <c r="AI59" i="10"/>
  <c r="AI83" i="10"/>
  <c r="AJ59" i="10"/>
  <c r="AJ83" i="10"/>
  <c r="AK59" i="10"/>
  <c r="AK83" i="10"/>
  <c r="AL59" i="10"/>
  <c r="AL83" i="10"/>
  <c r="AM59" i="10"/>
  <c r="AM83" i="10"/>
  <c r="AN59" i="10"/>
  <c r="AN83" i="10"/>
  <c r="AO59" i="10"/>
  <c r="AO83" i="10"/>
  <c r="AP59" i="10"/>
  <c r="AP83" i="10"/>
  <c r="AQ59" i="10"/>
  <c r="AQ83" i="10"/>
  <c r="AR59" i="10"/>
  <c r="AR83" i="10"/>
  <c r="AS59" i="10"/>
  <c r="AS83" i="10"/>
  <c r="AT59" i="10"/>
  <c r="AT83" i="10"/>
  <c r="AU59" i="10"/>
  <c r="AU83" i="10"/>
  <c r="AV59" i="10"/>
  <c r="AV83" i="10"/>
  <c r="AW59" i="10"/>
  <c r="AW83" i="10"/>
  <c r="AX59" i="10"/>
  <c r="AX83" i="10"/>
  <c r="AY59" i="10"/>
  <c r="AY83" i="10"/>
  <c r="AZ59" i="10"/>
  <c r="AZ83" i="10"/>
  <c r="BA59" i="10"/>
  <c r="BA83" i="10"/>
  <c r="BB59" i="10"/>
  <c r="BB83" i="10"/>
  <c r="E59" i="10"/>
  <c r="E83" i="10"/>
  <c r="E82" i="10"/>
  <c r="E81" i="10"/>
  <c r="E80" i="10"/>
  <c r="E79" i="10"/>
  <c r="E78" i="10"/>
  <c r="E77" i="10"/>
  <c r="E76" i="10"/>
  <c r="E75" i="10"/>
  <c r="E50" i="10"/>
  <c r="E74" i="10"/>
  <c r="C32" i="10"/>
  <c r="E62" i="10"/>
  <c r="F85" i="10"/>
  <c r="G85" i="10"/>
  <c r="H85" i="10"/>
  <c r="I85" i="10"/>
  <c r="J85" i="10"/>
  <c r="K85" i="10"/>
  <c r="L85" i="10"/>
  <c r="M85" i="10"/>
  <c r="N85" i="10"/>
  <c r="O85" i="10"/>
  <c r="P85" i="10"/>
  <c r="Q85" i="10"/>
  <c r="R85" i="10"/>
  <c r="S85" i="10"/>
  <c r="T85" i="10"/>
  <c r="U85" i="10"/>
  <c r="V85" i="10"/>
  <c r="W85" i="10"/>
  <c r="X85" i="10"/>
  <c r="Y85" i="10"/>
  <c r="Z85" i="10"/>
  <c r="AA85" i="10"/>
  <c r="AB85" i="10"/>
  <c r="AC85" i="10"/>
  <c r="AD85" i="10"/>
  <c r="AE85" i="10"/>
  <c r="AF85" i="10"/>
  <c r="AG85" i="10"/>
  <c r="AH85" i="10"/>
  <c r="AI85" i="10"/>
  <c r="AJ85" i="10"/>
  <c r="AK85" i="10"/>
  <c r="AL85" i="10"/>
  <c r="AM85" i="10"/>
  <c r="AN85" i="10"/>
  <c r="AO85" i="10"/>
  <c r="AP85" i="10"/>
  <c r="AQ85" i="10"/>
  <c r="AR85" i="10"/>
  <c r="AS85" i="10"/>
  <c r="AT85" i="10"/>
  <c r="AU85" i="10"/>
  <c r="AV85" i="10"/>
  <c r="AW85" i="10"/>
  <c r="AX85" i="10"/>
  <c r="AY85" i="10"/>
  <c r="AZ85" i="10"/>
  <c r="BA85" i="10"/>
  <c r="BB85" i="10"/>
  <c r="E85" i="10"/>
  <c r="H62" i="10"/>
  <c r="C28" i="10"/>
  <c r="C30" i="10"/>
  <c r="AH62" i="10"/>
  <c r="C34" i="10"/>
  <c r="M62" i="10"/>
  <c r="N62" i="10"/>
  <c r="Y62" i="10"/>
  <c r="AC62" i="10"/>
  <c r="AK62" i="10"/>
  <c r="AL62" i="10"/>
  <c r="AS62" i="10"/>
  <c r="AT62" i="10"/>
  <c r="AW62" i="10"/>
  <c r="BA62" i="10"/>
  <c r="I71" i="10"/>
  <c r="P71" i="10"/>
  <c r="X71" i="10"/>
  <c r="AF71" i="10"/>
  <c r="AN71" i="10"/>
  <c r="AV71" i="10"/>
  <c r="F62" i="10"/>
  <c r="U62" i="10"/>
  <c r="V62" i="10"/>
  <c r="AG62" i="10"/>
  <c r="AP62" i="10"/>
  <c r="AX62" i="10"/>
  <c r="K62" i="10"/>
  <c r="AZ62" i="10"/>
  <c r="AR62" i="10"/>
  <c r="AN62" i="10"/>
  <c r="AJ62" i="10"/>
  <c r="AB62" i="10"/>
  <c r="X62" i="10"/>
  <c r="T62" i="10"/>
  <c r="I62" i="10"/>
  <c r="Q62" i="10"/>
  <c r="AY62" i="10"/>
  <c r="AU62" i="10"/>
  <c r="AQ62" i="10"/>
  <c r="AM62" i="10"/>
  <c r="AI62" i="10"/>
  <c r="AE62" i="10"/>
  <c r="AA62" i="10"/>
  <c r="W62" i="10"/>
  <c r="S62" i="10"/>
  <c r="O62" i="10"/>
  <c r="L62" i="10"/>
  <c r="AD62" i="10"/>
  <c r="BB62" i="10"/>
  <c r="G62" i="10"/>
  <c r="AO71" i="10"/>
  <c r="Y71" i="10"/>
  <c r="J71" i="10"/>
  <c r="AF62" i="10"/>
  <c r="AO62" i="10"/>
  <c r="J62" i="10"/>
  <c r="T71" i="10"/>
  <c r="Z62" i="10"/>
  <c r="R62" i="10"/>
  <c r="BA71" i="10"/>
  <c r="AS71" i="10"/>
  <c r="AK71" i="10"/>
  <c r="AC71" i="10"/>
  <c r="U71" i="10"/>
  <c r="M71" i="10"/>
  <c r="F71" i="10"/>
  <c r="G71" i="10"/>
  <c r="K71" i="10"/>
  <c r="N71" i="10"/>
  <c r="R71" i="10"/>
  <c r="V71" i="10"/>
  <c r="Z71" i="10"/>
  <c r="AD71" i="10"/>
  <c r="AH71" i="10"/>
  <c r="AL71" i="10"/>
  <c r="AP71" i="10"/>
  <c r="AT71" i="10"/>
  <c r="AX71" i="10"/>
  <c r="BB71" i="10"/>
  <c r="H71" i="10"/>
  <c r="L71" i="10"/>
  <c r="O71" i="10"/>
  <c r="S71" i="10"/>
  <c r="W71" i="10"/>
  <c r="AA71" i="10"/>
  <c r="AE71" i="10"/>
  <c r="AI71" i="10"/>
  <c r="AM71" i="10"/>
  <c r="AQ71" i="10"/>
  <c r="AU71" i="10"/>
  <c r="AY71" i="10"/>
  <c r="AW71" i="10"/>
  <c r="AG71" i="10"/>
  <c r="Q71" i="10"/>
  <c r="AV62" i="10"/>
  <c r="P62" i="10"/>
  <c r="AZ71" i="10"/>
  <c r="AR71" i="10"/>
  <c r="AJ71" i="10"/>
  <c r="AB71" i="10"/>
  <c r="E71" i="10"/>
  <c r="F1" i="2"/>
  <c r="G1" i="2"/>
  <c r="H1" i="2"/>
  <c r="I1" i="2"/>
  <c r="J1" i="2"/>
  <c r="K1" i="2"/>
  <c r="L1" i="2"/>
  <c r="M1" i="2"/>
  <c r="N1" i="2"/>
  <c r="O1" i="2"/>
  <c r="P1" i="2"/>
  <c r="Q1" i="2"/>
  <c r="R1" i="2"/>
  <c r="S1" i="2"/>
  <c r="T1" i="2"/>
  <c r="U1" i="2"/>
  <c r="V1" i="2"/>
  <c r="W1" i="2"/>
  <c r="X1" i="2"/>
  <c r="Y1" i="2"/>
  <c r="Z1" i="2"/>
  <c r="AA1" i="2"/>
  <c r="AB1" i="2"/>
  <c r="AC1" i="2"/>
  <c r="AD1" i="2"/>
  <c r="AE1" i="2"/>
  <c r="AF1" i="2"/>
  <c r="AG1" i="2"/>
  <c r="AH1" i="2"/>
  <c r="AI1" i="2"/>
  <c r="AJ1" i="2"/>
  <c r="AK1" i="2"/>
  <c r="AL1" i="2"/>
  <c r="AM1" i="2"/>
  <c r="AN1" i="2"/>
  <c r="AO1" i="2"/>
  <c r="AP1" i="2"/>
  <c r="AQ1" i="2"/>
  <c r="AR1" i="2"/>
  <c r="AS1" i="2"/>
  <c r="AT1" i="2"/>
  <c r="AU1" i="2"/>
  <c r="AV1" i="2"/>
  <c r="AW1" i="2"/>
  <c r="AX1" i="2"/>
  <c r="AY1" i="2"/>
  <c r="AZ1" i="2"/>
  <c r="BA1" i="2"/>
  <c r="BB1" i="2"/>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AX8" i="20"/>
  <c r="AX10" i="20"/>
  <c r="O8" i="20"/>
  <c r="O10" i="20"/>
  <c r="AR8" i="20"/>
  <c r="AR10" i="20"/>
  <c r="R8" i="20"/>
  <c r="R10" i="20"/>
  <c r="AD8" i="20"/>
  <c r="AD10" i="20"/>
  <c r="N8" i="20"/>
  <c r="N10" i="20"/>
  <c r="E8" i="20"/>
  <c r="E10" i="20"/>
  <c r="AK8" i="20"/>
  <c r="AK10" i="20"/>
  <c r="AC8" i="20"/>
  <c r="AC10" i="20"/>
  <c r="AX7" i="20"/>
  <c r="AX9" i="20"/>
  <c r="O7" i="20"/>
  <c r="O9" i="20"/>
  <c r="AR7" i="20"/>
  <c r="AR9" i="20"/>
  <c r="R7" i="20"/>
  <c r="R9" i="20"/>
  <c r="AD7" i="20"/>
  <c r="AD9" i="20"/>
  <c r="N7" i="20"/>
  <c r="N9" i="20"/>
  <c r="E7" i="20"/>
  <c r="E9" i="20"/>
  <c r="AK7" i="20"/>
  <c r="AK9" i="20"/>
  <c r="AC7" i="20"/>
  <c r="AC9" i="20"/>
  <c r="AX6" i="20"/>
  <c r="AX11" i="20"/>
  <c r="AX12" i="20"/>
  <c r="O6" i="20"/>
  <c r="O11" i="20"/>
  <c r="O12" i="20"/>
  <c r="AR6" i="20"/>
  <c r="AR11" i="20"/>
  <c r="AR12" i="20"/>
  <c r="R6" i="20"/>
  <c r="R11" i="20"/>
  <c r="R12" i="20"/>
  <c r="AD6" i="20"/>
  <c r="AD11" i="20"/>
  <c r="AD12" i="20"/>
  <c r="N6" i="20"/>
  <c r="N11" i="20"/>
  <c r="N12" i="20"/>
  <c r="E6" i="20"/>
  <c r="E11" i="20"/>
  <c r="E12" i="20"/>
  <c r="AK6" i="20"/>
  <c r="AK11" i="20"/>
  <c r="AK12" i="20"/>
  <c r="AC6" i="20"/>
  <c r="AC11" i="20"/>
  <c r="AC12" i="20"/>
  <c r="G1" i="24"/>
  <c r="H1" i="24"/>
  <c r="I1" i="24"/>
  <c r="J1" i="24"/>
  <c r="K1" i="24"/>
  <c r="L1" i="24"/>
  <c r="M1" i="24"/>
  <c r="N1" i="24"/>
  <c r="O1" i="24"/>
  <c r="P1" i="24"/>
  <c r="Q1" i="24"/>
  <c r="R1" i="24"/>
  <c r="S1" i="24"/>
  <c r="T1" i="24"/>
  <c r="U1" i="24"/>
  <c r="V1" i="24"/>
  <c r="W1" i="24"/>
  <c r="X1" i="24"/>
  <c r="Y1" i="24"/>
  <c r="Z1" i="24"/>
  <c r="AA1" i="24"/>
  <c r="AB1" i="24"/>
  <c r="AC1" i="24"/>
  <c r="AD1" i="24"/>
  <c r="AE1" i="24"/>
  <c r="AF1" i="24"/>
  <c r="AG1" i="24"/>
  <c r="AH1" i="24"/>
  <c r="AI1" i="24"/>
  <c r="AJ1" i="24"/>
  <c r="AK1" i="24"/>
  <c r="AL1" i="24"/>
  <c r="AM1" i="24"/>
  <c r="AN1" i="24"/>
  <c r="AO1" i="24"/>
  <c r="AP1" i="24"/>
  <c r="AQ1" i="24"/>
  <c r="AR1" i="24"/>
  <c r="AS1" i="24"/>
  <c r="AT1" i="24"/>
  <c r="AU1" i="24"/>
  <c r="AV1" i="24"/>
  <c r="AW1" i="24"/>
  <c r="AX1" i="24"/>
  <c r="AY1" i="24"/>
  <c r="AZ1" i="24"/>
  <c r="BA1" i="24"/>
  <c r="BB1" i="24"/>
  <c r="BC1"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AJ36" i="24"/>
  <c r="AK36" i="24"/>
  <c r="AL36" i="24"/>
  <c r="AM36" i="24"/>
  <c r="AN36" i="24"/>
  <c r="AO36" i="24"/>
  <c r="AP36" i="24"/>
  <c r="AQ36" i="24"/>
  <c r="AR36" i="24"/>
  <c r="AS36" i="24"/>
  <c r="AT36" i="24"/>
  <c r="AU36" i="24"/>
  <c r="AV36" i="24"/>
  <c r="AW36" i="24"/>
  <c r="AX36" i="24"/>
  <c r="AY36" i="24"/>
  <c r="AZ36" i="24"/>
  <c r="BA36" i="24"/>
  <c r="BB36" i="24"/>
  <c r="BC36" i="24"/>
  <c r="F36"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AZ37" i="24"/>
  <c r="BA37" i="24"/>
  <c r="BB37" i="24"/>
  <c r="BC37"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AJ38" i="24"/>
  <c r="AK38" i="24"/>
  <c r="AL38" i="24"/>
  <c r="AM38" i="24"/>
  <c r="AN38" i="24"/>
  <c r="AO38" i="24"/>
  <c r="AP38" i="24"/>
  <c r="AQ38" i="24"/>
  <c r="AR38" i="24"/>
  <c r="AS38" i="24"/>
  <c r="AT38" i="24"/>
  <c r="AU38" i="24"/>
  <c r="AV38" i="24"/>
  <c r="AW38" i="24"/>
  <c r="AX38" i="24"/>
  <c r="AY38" i="24"/>
  <c r="AZ38" i="24"/>
  <c r="BA38" i="24"/>
  <c r="BB38" i="24"/>
  <c r="BC38"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AZ39" i="24"/>
  <c r="BA39" i="24"/>
  <c r="BB39" i="24"/>
  <c r="BC39"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AZ40" i="24"/>
  <c r="BA40" i="24"/>
  <c r="BB40" i="24"/>
  <c r="BC40" i="24"/>
  <c r="F37" i="24"/>
  <c r="F38" i="24"/>
  <c r="F39" i="24"/>
  <c r="F40" i="24"/>
  <c r="D14" i="24"/>
  <c r="D15" i="24"/>
  <c r="D16" i="24"/>
  <c r="D13" i="24"/>
  <c r="E1" i="18"/>
  <c r="F1" i="18"/>
  <c r="G1" i="18"/>
  <c r="H1" i="18"/>
  <c r="I1" i="18"/>
  <c r="J1" i="18"/>
  <c r="K1" i="18"/>
  <c r="L1" i="18"/>
  <c r="M1" i="18"/>
  <c r="N1" i="18"/>
  <c r="O1" i="18"/>
  <c r="P1" i="18"/>
  <c r="Q1" i="18"/>
  <c r="R1" i="18"/>
  <c r="S1" i="18"/>
  <c r="T1" i="18"/>
  <c r="U1" i="18"/>
  <c r="V1" i="18"/>
  <c r="W1" i="18"/>
  <c r="X1" i="18"/>
  <c r="Y1" i="18"/>
  <c r="Z1" i="18"/>
  <c r="AA1" i="18"/>
  <c r="AB1" i="18"/>
  <c r="AC1" i="18"/>
  <c r="AD1" i="18"/>
  <c r="AE1" i="18"/>
  <c r="AF1" i="18"/>
  <c r="AG1" i="18"/>
  <c r="AH1" i="18"/>
  <c r="AI1" i="18"/>
  <c r="AJ1" i="18"/>
  <c r="AK1" i="18"/>
  <c r="AL1" i="18"/>
  <c r="AM1" i="18"/>
  <c r="AN1" i="18"/>
  <c r="AO1" i="18"/>
  <c r="AP1" i="18"/>
  <c r="AQ1" i="18"/>
  <c r="AR1" i="18"/>
  <c r="AS1" i="18"/>
  <c r="AT1" i="18"/>
  <c r="AU1" i="18"/>
  <c r="AV1" i="18"/>
  <c r="AW1" i="18"/>
  <c r="AX1" i="18"/>
  <c r="AY1" i="18"/>
  <c r="AZ1" i="18"/>
  <c r="BA1" i="18"/>
  <c r="C12" i="18"/>
  <c r="C14" i="18"/>
  <c r="C5" i="18"/>
  <c r="C17" i="18"/>
  <c r="F1" i="12"/>
  <c r="G1" i="12"/>
  <c r="H1" i="12"/>
  <c r="I1" i="12"/>
  <c r="J1" i="12"/>
  <c r="K1" i="12"/>
  <c r="L1" i="12"/>
  <c r="M1" i="12"/>
  <c r="N1" i="12"/>
  <c r="O1" i="12"/>
  <c r="P1" i="12"/>
  <c r="Q1" i="12"/>
  <c r="R1" i="12"/>
  <c r="S1" i="12"/>
  <c r="T1" i="12"/>
  <c r="U1" i="12"/>
  <c r="V1" i="12"/>
  <c r="W1" i="12"/>
  <c r="X1" i="12"/>
  <c r="Y1" i="12"/>
  <c r="Z1" i="12"/>
  <c r="AA1" i="12"/>
  <c r="AB1" i="12"/>
  <c r="AC1" i="12"/>
  <c r="AD1" i="12"/>
  <c r="AE1" i="12"/>
  <c r="AF1" i="12"/>
  <c r="AG1" i="12"/>
  <c r="AH1" i="12"/>
  <c r="AI1" i="12"/>
  <c r="AJ1" i="12"/>
  <c r="AK1" i="12"/>
  <c r="AL1" i="12"/>
  <c r="AM1" i="12"/>
  <c r="AN1" i="12"/>
  <c r="AO1" i="12"/>
  <c r="AP1" i="12"/>
  <c r="AQ1" i="12"/>
  <c r="AR1" i="12"/>
  <c r="AS1" i="12"/>
  <c r="AT1" i="12"/>
  <c r="AU1" i="12"/>
  <c r="AV1" i="12"/>
  <c r="AW1" i="12"/>
  <c r="AX1" i="12"/>
  <c r="AY1" i="12"/>
  <c r="AZ1" i="12"/>
  <c r="BA1" i="12"/>
  <c r="BB1" i="12"/>
  <c r="C20" i="35"/>
  <c r="C21" i="35"/>
  <c r="C22" i="35"/>
  <c r="C23" i="35"/>
  <c r="C24" i="35"/>
  <c r="C25" i="35"/>
  <c r="C19" i="35"/>
  <c r="D20" i="25"/>
  <c r="C20" i="25"/>
  <c r="D13" i="25"/>
  <c r="C13" i="25"/>
  <c r="D11" i="25"/>
  <c r="C11" i="25"/>
  <c r="D5" i="25"/>
  <c r="E1" i="34"/>
  <c r="F1" i="34"/>
  <c r="G1" i="34"/>
  <c r="H1" i="34"/>
  <c r="I1" i="34"/>
  <c r="J1" i="34"/>
  <c r="K1" i="34"/>
  <c r="L1" i="34"/>
  <c r="M1" i="34"/>
  <c r="N1" i="34"/>
  <c r="O1" i="34"/>
  <c r="P1" i="34"/>
  <c r="Q1" i="34"/>
  <c r="R1" i="34"/>
  <c r="S1" i="34"/>
  <c r="T1" i="34"/>
  <c r="U1" i="34"/>
  <c r="V1" i="34"/>
  <c r="W1" i="34"/>
  <c r="X1" i="34"/>
  <c r="Y1" i="34"/>
  <c r="Z1" i="34"/>
  <c r="AA1" i="34"/>
  <c r="AB1" i="34"/>
  <c r="AC1" i="34"/>
  <c r="AD1" i="34"/>
  <c r="AE1" i="34"/>
  <c r="AF1" i="34"/>
  <c r="AG1" i="34"/>
  <c r="AH1" i="34"/>
  <c r="AI1" i="34"/>
  <c r="AJ1" i="34"/>
  <c r="AK1" i="34"/>
  <c r="AL1" i="34"/>
  <c r="AM1" i="34"/>
  <c r="AN1" i="34"/>
  <c r="AO1" i="34"/>
  <c r="AP1" i="34"/>
  <c r="AQ1" i="34"/>
  <c r="AR1" i="34"/>
  <c r="AS1" i="34"/>
  <c r="AT1" i="34"/>
  <c r="AU1" i="34"/>
  <c r="AV1" i="34"/>
  <c r="AW1" i="34"/>
  <c r="AX1" i="34"/>
  <c r="AY1" i="34"/>
  <c r="AZ1" i="34"/>
  <c r="BA1" i="34"/>
  <c r="C24" i="34"/>
  <c r="C11" i="34"/>
  <c r="C16" i="27"/>
  <c r="C12" i="27"/>
  <c r="C7" i="27"/>
  <c r="BB16" i="27"/>
  <c r="BB12" i="27"/>
  <c r="BB7" i="27"/>
  <c r="BB4" i="27"/>
  <c r="E1" i="31"/>
  <c r="F1" i="31"/>
  <c r="G1" i="31"/>
  <c r="H1" i="31"/>
  <c r="I1" i="31"/>
  <c r="J1" i="31"/>
  <c r="K1" i="31"/>
  <c r="L1" i="31"/>
  <c r="M1" i="31"/>
  <c r="N1" i="31"/>
  <c r="O1" i="31"/>
  <c r="P1" i="31"/>
  <c r="Q1" i="31"/>
  <c r="R1" i="31"/>
  <c r="S1" i="31"/>
  <c r="T1" i="31"/>
  <c r="U1" i="31"/>
  <c r="V1" i="31"/>
  <c r="W1" i="31"/>
  <c r="X1" i="31"/>
  <c r="Y1" i="31"/>
  <c r="Z1" i="31"/>
  <c r="AA1" i="31"/>
  <c r="AB1" i="31"/>
  <c r="AC1" i="31"/>
  <c r="AD1" i="31"/>
  <c r="AE1" i="31"/>
  <c r="AF1" i="31"/>
  <c r="AG1" i="31"/>
  <c r="AH1" i="31"/>
  <c r="AI1" i="31"/>
  <c r="AJ1" i="31"/>
  <c r="AK1" i="31"/>
  <c r="AL1" i="31"/>
  <c r="AM1" i="31"/>
  <c r="AN1" i="31"/>
  <c r="AO1" i="31"/>
  <c r="AP1" i="31"/>
  <c r="AQ1" i="31"/>
  <c r="AR1" i="31"/>
  <c r="AS1" i="31"/>
  <c r="AT1" i="31"/>
  <c r="AU1" i="31"/>
  <c r="AV1" i="31"/>
  <c r="AW1" i="31"/>
  <c r="AX1" i="31"/>
  <c r="AY1" i="31"/>
  <c r="AZ1" i="31"/>
  <c r="BA1" i="31"/>
  <c r="E1" i="15"/>
  <c r="F1" i="15"/>
  <c r="G1" i="15"/>
  <c r="H1" i="15"/>
  <c r="I1" i="15"/>
  <c r="J1" i="15"/>
  <c r="K1" i="15"/>
  <c r="L1" i="15"/>
  <c r="M1" i="15"/>
  <c r="N1" i="15"/>
  <c r="O1" i="15"/>
  <c r="P1" i="15"/>
  <c r="Q1" i="15"/>
  <c r="R1" i="15"/>
  <c r="S1" i="15"/>
  <c r="T1" i="15"/>
  <c r="U1" i="15"/>
  <c r="V1" i="15"/>
  <c r="W1" i="15"/>
  <c r="X1" i="15"/>
  <c r="Y1" i="15"/>
  <c r="Z1" i="15"/>
  <c r="AA1" i="15"/>
  <c r="AB1" i="15"/>
  <c r="AC1" i="15"/>
  <c r="AD1" i="15"/>
  <c r="AE1" i="15"/>
  <c r="AF1" i="15"/>
  <c r="AG1" i="15"/>
  <c r="AH1" i="15"/>
  <c r="AI1" i="15"/>
  <c r="AJ1" i="15"/>
  <c r="AK1" i="15"/>
  <c r="AL1" i="15"/>
  <c r="AM1" i="15"/>
  <c r="AN1" i="15"/>
  <c r="AO1" i="15"/>
  <c r="AP1" i="15"/>
  <c r="AQ1" i="15"/>
  <c r="AR1" i="15"/>
  <c r="AS1" i="15"/>
  <c r="AT1" i="15"/>
  <c r="AU1" i="15"/>
  <c r="AV1" i="15"/>
  <c r="AW1" i="15"/>
  <c r="AX1" i="15"/>
  <c r="AY1" i="15"/>
  <c r="AZ1" i="15"/>
  <c r="BA1" i="15"/>
  <c r="C7" i="15"/>
  <c r="D10" i="15"/>
  <c r="E10" i="15"/>
  <c r="F10" i="15"/>
  <c r="G10" i="15"/>
  <c r="H10" i="15"/>
  <c r="I10" i="15"/>
  <c r="J10" i="15"/>
  <c r="K10" i="15"/>
  <c r="L10" i="15"/>
  <c r="M10" i="15"/>
  <c r="N10" i="15"/>
  <c r="O10" i="15"/>
  <c r="P10" i="15"/>
  <c r="Q10" i="15"/>
  <c r="R10" i="15"/>
  <c r="S10" i="15"/>
  <c r="T10" i="15"/>
  <c r="U10" i="15"/>
  <c r="V10" i="15"/>
  <c r="W10" i="15"/>
  <c r="X10" i="15"/>
  <c r="Y10" i="15"/>
  <c r="Z10" i="15"/>
  <c r="AA10" i="15"/>
  <c r="AB10" i="15"/>
  <c r="AC10" i="15"/>
  <c r="AD10" i="15"/>
  <c r="AE10" i="15"/>
  <c r="AF10" i="15"/>
  <c r="AG10" i="15"/>
  <c r="AH10" i="15"/>
  <c r="AI10" i="15"/>
  <c r="AJ10" i="15"/>
  <c r="AK10" i="15"/>
  <c r="AL10" i="15"/>
  <c r="AM10" i="15"/>
  <c r="AN10" i="15"/>
  <c r="AO10" i="15"/>
  <c r="AP10" i="15"/>
  <c r="AQ10" i="15"/>
  <c r="AR10" i="15"/>
  <c r="AS10" i="15"/>
  <c r="AT10" i="15"/>
  <c r="AU10" i="15"/>
  <c r="AV10" i="15"/>
  <c r="AW10" i="15"/>
  <c r="AX10" i="15"/>
  <c r="AY10" i="15"/>
  <c r="AZ10" i="15"/>
  <c r="BA10" i="15"/>
  <c r="C10" i="15"/>
  <c r="F1" i="21"/>
  <c r="G1" i="21"/>
  <c r="H1" i="21"/>
  <c r="I1" i="21"/>
  <c r="J1" i="21"/>
  <c r="K1" i="21"/>
  <c r="L1" i="21"/>
  <c r="M1" i="21"/>
  <c r="N1" i="21"/>
  <c r="O1" i="21"/>
  <c r="P1" i="21"/>
  <c r="Q1" i="21"/>
  <c r="R1" i="21"/>
  <c r="S1" i="21"/>
  <c r="T1" i="21"/>
  <c r="U1" i="21"/>
  <c r="V1" i="21"/>
  <c r="W1" i="21"/>
  <c r="X1" i="21"/>
  <c r="Y1" i="21"/>
  <c r="Z1" i="21"/>
  <c r="AA1" i="21"/>
  <c r="AB1" i="21"/>
  <c r="AC1" i="21"/>
  <c r="AD1" i="21"/>
  <c r="AE1" i="21"/>
  <c r="AF1" i="21"/>
  <c r="AG1" i="21"/>
  <c r="AH1" i="21"/>
  <c r="AI1" i="21"/>
  <c r="AJ1" i="21"/>
  <c r="AK1" i="21"/>
  <c r="AL1" i="21"/>
  <c r="AM1" i="21"/>
  <c r="AN1" i="21"/>
  <c r="AO1" i="21"/>
  <c r="AP1" i="21"/>
  <c r="AQ1" i="21"/>
  <c r="AR1" i="21"/>
  <c r="AS1" i="21"/>
  <c r="AT1" i="21"/>
  <c r="AU1" i="21"/>
  <c r="AV1" i="21"/>
  <c r="AW1" i="21"/>
  <c r="AX1" i="21"/>
  <c r="AY1" i="21"/>
  <c r="AZ1" i="21"/>
  <c r="BA1" i="21"/>
  <c r="BB1" i="21"/>
  <c r="E1" i="38"/>
  <c r="F1" i="38"/>
  <c r="G1" i="38"/>
  <c r="H1" i="38"/>
  <c r="I1" i="38"/>
  <c r="J1" i="38"/>
  <c r="K1" i="38"/>
  <c r="L1" i="38"/>
  <c r="M1" i="38"/>
  <c r="N1" i="38"/>
  <c r="O1" i="38"/>
  <c r="P1" i="38"/>
  <c r="Q1" i="38"/>
  <c r="R1" i="38"/>
  <c r="S1" i="38"/>
  <c r="T1" i="38"/>
  <c r="U1" i="38"/>
  <c r="V1" i="38"/>
  <c r="W1" i="38"/>
  <c r="X1" i="38"/>
  <c r="Y1" i="38"/>
  <c r="Z1" i="38"/>
  <c r="AA1" i="38"/>
  <c r="AB1" i="38"/>
  <c r="AC1" i="38"/>
  <c r="AD1" i="38"/>
  <c r="AE1" i="38"/>
  <c r="AF1" i="38"/>
  <c r="AG1" i="38"/>
  <c r="AH1" i="38"/>
  <c r="AI1" i="38"/>
  <c r="AJ1" i="38"/>
  <c r="AK1" i="38"/>
  <c r="AL1" i="38"/>
  <c r="AM1" i="38"/>
  <c r="AN1" i="38"/>
  <c r="AO1" i="38"/>
  <c r="AP1" i="38"/>
  <c r="AQ1" i="38"/>
  <c r="AR1" i="38"/>
  <c r="AS1" i="38"/>
  <c r="AT1" i="38"/>
  <c r="AU1" i="38"/>
  <c r="AV1" i="38"/>
  <c r="AW1" i="38"/>
  <c r="AX1" i="38"/>
  <c r="AY1" i="38"/>
  <c r="AZ1" i="38"/>
  <c r="BA1" i="38"/>
  <c r="E37" i="38"/>
  <c r="D37" i="38"/>
  <c r="F37" i="38"/>
  <c r="G37" i="38"/>
  <c r="H37" i="38"/>
  <c r="I37" i="38"/>
  <c r="J37" i="38"/>
  <c r="K37" i="38"/>
  <c r="L37" i="38"/>
  <c r="M37" i="38"/>
  <c r="N37" i="38"/>
  <c r="O37" i="38"/>
  <c r="P37" i="38"/>
  <c r="Q37" i="38"/>
  <c r="R37" i="38"/>
  <c r="S37" i="38"/>
  <c r="T37" i="38"/>
  <c r="U37" i="38"/>
  <c r="V37" i="38"/>
  <c r="W37" i="38"/>
  <c r="X37" i="38"/>
  <c r="Y37" i="38"/>
  <c r="Z37" i="38"/>
  <c r="AA37" i="38"/>
  <c r="AB37" i="38"/>
  <c r="AC37" i="38"/>
  <c r="AD37" i="38"/>
  <c r="AE37" i="38"/>
  <c r="AF37" i="38"/>
  <c r="AG37" i="38"/>
  <c r="AH37" i="38"/>
  <c r="AI37" i="38"/>
  <c r="AJ37" i="38"/>
  <c r="AK37" i="38"/>
  <c r="AL37" i="38"/>
  <c r="AM37" i="38"/>
  <c r="AN37" i="38"/>
  <c r="AO37" i="38"/>
  <c r="AP37" i="38"/>
  <c r="AQ37" i="38"/>
  <c r="AR37" i="38"/>
  <c r="AS37" i="38"/>
  <c r="AT37" i="38"/>
  <c r="AU37" i="38"/>
  <c r="AV37" i="38"/>
  <c r="AW37" i="38"/>
  <c r="AX37" i="38"/>
  <c r="AY37" i="38"/>
  <c r="AZ37" i="38"/>
  <c r="BA37" i="38"/>
  <c r="E65" i="38"/>
  <c r="F65" i="38"/>
  <c r="G65" i="38"/>
  <c r="H65" i="38"/>
  <c r="I65" i="38"/>
  <c r="J65" i="38"/>
  <c r="K65" i="38"/>
  <c r="L65" i="38"/>
  <c r="M65" i="38"/>
  <c r="N65" i="38"/>
  <c r="O65" i="38"/>
  <c r="P65" i="38"/>
  <c r="Q65" i="38"/>
  <c r="R65" i="38"/>
  <c r="S65" i="38"/>
  <c r="T65" i="38"/>
  <c r="U65" i="38"/>
  <c r="V65" i="38"/>
  <c r="W65" i="38"/>
  <c r="X65" i="38"/>
  <c r="Y65" i="38"/>
  <c r="Z65" i="38"/>
  <c r="AA65" i="38"/>
  <c r="AB65" i="38"/>
  <c r="AC65" i="38"/>
  <c r="AD65" i="38"/>
  <c r="AE65" i="38"/>
  <c r="AF65" i="38"/>
  <c r="AG65" i="38"/>
  <c r="AH65" i="38"/>
  <c r="AI65" i="38"/>
  <c r="AJ65" i="38"/>
  <c r="AK65" i="38"/>
  <c r="AL65" i="38"/>
  <c r="AM65" i="38"/>
  <c r="AN65" i="38"/>
  <c r="AO65" i="38"/>
  <c r="AP65" i="38"/>
  <c r="AQ65" i="38"/>
  <c r="AR65" i="38"/>
  <c r="AS65" i="38"/>
  <c r="AT65" i="38"/>
  <c r="AU65" i="38"/>
  <c r="AV65" i="38"/>
  <c r="AW65" i="38"/>
  <c r="AX65" i="38"/>
  <c r="AY65" i="38"/>
  <c r="AZ65" i="38"/>
  <c r="BA65" i="38"/>
  <c r="E38" i="38"/>
  <c r="D38" i="38"/>
  <c r="F38" i="38"/>
  <c r="G38" i="38"/>
  <c r="H38" i="38"/>
  <c r="I38" i="38"/>
  <c r="J38" i="38"/>
  <c r="K38" i="38"/>
  <c r="L38" i="38"/>
  <c r="M38" i="38"/>
  <c r="N38" i="38"/>
  <c r="O38" i="38"/>
  <c r="P38" i="38"/>
  <c r="Q38" i="38"/>
  <c r="R38" i="38"/>
  <c r="S38" i="38"/>
  <c r="T38" i="38"/>
  <c r="U38" i="38"/>
  <c r="V38" i="38"/>
  <c r="W38" i="38"/>
  <c r="X38" i="38"/>
  <c r="Y38" i="38"/>
  <c r="Z38" i="38"/>
  <c r="AA38" i="38"/>
  <c r="AB38" i="38"/>
  <c r="AC38" i="38"/>
  <c r="AD38" i="38"/>
  <c r="AE38" i="38"/>
  <c r="AF38" i="38"/>
  <c r="AG38" i="38"/>
  <c r="AH38" i="38"/>
  <c r="AI38" i="38"/>
  <c r="AJ38" i="38"/>
  <c r="AK38" i="38"/>
  <c r="AL38" i="38"/>
  <c r="AM38" i="38"/>
  <c r="AN38" i="38"/>
  <c r="AO38" i="38"/>
  <c r="AP38" i="38"/>
  <c r="AQ38" i="38"/>
  <c r="AR38" i="38"/>
  <c r="AS38" i="38"/>
  <c r="AT38" i="38"/>
  <c r="AU38" i="38"/>
  <c r="AV38" i="38"/>
  <c r="AW38" i="38"/>
  <c r="AX38" i="38"/>
  <c r="AY38" i="38"/>
  <c r="AZ38" i="38"/>
  <c r="BA38" i="38"/>
  <c r="E66" i="38"/>
  <c r="F66" i="38"/>
  <c r="G66" i="38"/>
  <c r="H66" i="38"/>
  <c r="I66" i="38"/>
  <c r="J66" i="38"/>
  <c r="K66" i="38"/>
  <c r="L66" i="38"/>
  <c r="M66" i="38"/>
  <c r="N66" i="38"/>
  <c r="O66" i="38"/>
  <c r="P66" i="38"/>
  <c r="Q66" i="38"/>
  <c r="R66" i="38"/>
  <c r="S66" i="38"/>
  <c r="T66" i="38"/>
  <c r="U66" i="38"/>
  <c r="V66" i="38"/>
  <c r="W66" i="38"/>
  <c r="X66" i="38"/>
  <c r="Y66" i="38"/>
  <c r="Z66" i="38"/>
  <c r="AA66" i="38"/>
  <c r="AB66" i="38"/>
  <c r="AC66" i="38"/>
  <c r="AD66" i="38"/>
  <c r="AE66" i="38"/>
  <c r="AF66" i="38"/>
  <c r="AG66" i="38"/>
  <c r="AH66" i="38"/>
  <c r="AI66" i="38"/>
  <c r="AJ66" i="38"/>
  <c r="AK66" i="38"/>
  <c r="AL66" i="38"/>
  <c r="AM66" i="38"/>
  <c r="AN66" i="38"/>
  <c r="AO66" i="38"/>
  <c r="AP66" i="38"/>
  <c r="AQ66" i="38"/>
  <c r="AR66" i="38"/>
  <c r="AS66" i="38"/>
  <c r="AT66" i="38"/>
  <c r="AU66" i="38"/>
  <c r="AV66" i="38"/>
  <c r="AW66" i="38"/>
  <c r="AX66" i="38"/>
  <c r="AY66" i="38"/>
  <c r="AZ66" i="38"/>
  <c r="BA66" i="38"/>
  <c r="E39" i="38"/>
  <c r="D39" i="38"/>
  <c r="F39" i="38"/>
  <c r="G39" i="38"/>
  <c r="H39" i="38"/>
  <c r="I39" i="38"/>
  <c r="J39" i="38"/>
  <c r="K39" i="38"/>
  <c r="L39" i="38"/>
  <c r="M39" i="38"/>
  <c r="N39" i="38"/>
  <c r="O39" i="38"/>
  <c r="P39" i="38"/>
  <c r="Q39" i="38"/>
  <c r="R39" i="38"/>
  <c r="S39" i="38"/>
  <c r="T39" i="38"/>
  <c r="U39" i="38"/>
  <c r="V39" i="38"/>
  <c r="W39" i="38"/>
  <c r="X39" i="38"/>
  <c r="Y39" i="38"/>
  <c r="Z39" i="38"/>
  <c r="AA39" i="38"/>
  <c r="AB39" i="38"/>
  <c r="AC39" i="38"/>
  <c r="AD39" i="38"/>
  <c r="AE39" i="38"/>
  <c r="AF39" i="38"/>
  <c r="AG39" i="38"/>
  <c r="AH39" i="38"/>
  <c r="AI39" i="38"/>
  <c r="AJ39" i="38"/>
  <c r="AK39" i="38"/>
  <c r="AL39" i="38"/>
  <c r="AM39" i="38"/>
  <c r="AN39" i="38"/>
  <c r="AO39" i="38"/>
  <c r="AP39" i="38"/>
  <c r="AQ39" i="38"/>
  <c r="AR39" i="38"/>
  <c r="AS39" i="38"/>
  <c r="AT39" i="38"/>
  <c r="AU39" i="38"/>
  <c r="AV39" i="38"/>
  <c r="AW39" i="38"/>
  <c r="AX39" i="38"/>
  <c r="AY39" i="38"/>
  <c r="AZ39" i="38"/>
  <c r="BA39" i="38"/>
  <c r="E67" i="38"/>
  <c r="F67" i="38"/>
  <c r="G67" i="38"/>
  <c r="H67" i="38"/>
  <c r="I67" i="38"/>
  <c r="J67" i="38"/>
  <c r="K67" i="38"/>
  <c r="L67" i="38"/>
  <c r="M67" i="38"/>
  <c r="N67" i="38"/>
  <c r="O67" i="38"/>
  <c r="P67" i="38"/>
  <c r="Q67" i="38"/>
  <c r="R67" i="38"/>
  <c r="S67" i="38"/>
  <c r="T67" i="38"/>
  <c r="U67" i="38"/>
  <c r="V67" i="38"/>
  <c r="W67" i="38"/>
  <c r="X67" i="38"/>
  <c r="Y67" i="38"/>
  <c r="Z67" i="38"/>
  <c r="AA67" i="38"/>
  <c r="AB67" i="38"/>
  <c r="AC67" i="38"/>
  <c r="AD67" i="38"/>
  <c r="AE67" i="38"/>
  <c r="AF67" i="38"/>
  <c r="AG67" i="38"/>
  <c r="AH67" i="38"/>
  <c r="AI67" i="38"/>
  <c r="AJ67" i="38"/>
  <c r="AK67" i="38"/>
  <c r="AL67" i="38"/>
  <c r="AM67" i="38"/>
  <c r="AN67" i="38"/>
  <c r="AO67" i="38"/>
  <c r="AP67" i="38"/>
  <c r="AQ67" i="38"/>
  <c r="AR67" i="38"/>
  <c r="AS67" i="38"/>
  <c r="AT67" i="38"/>
  <c r="AU67" i="38"/>
  <c r="AV67" i="38"/>
  <c r="AW67" i="38"/>
  <c r="AX67" i="38"/>
  <c r="AY67" i="38"/>
  <c r="AZ67" i="38"/>
  <c r="BA67" i="38"/>
  <c r="E40" i="38"/>
  <c r="D40" i="38"/>
  <c r="F40" i="38"/>
  <c r="G40" i="38"/>
  <c r="H40" i="38"/>
  <c r="I40" i="38"/>
  <c r="J40" i="38"/>
  <c r="K40" i="38"/>
  <c r="L40" i="38"/>
  <c r="M40" i="38"/>
  <c r="N40" i="38"/>
  <c r="O40" i="38"/>
  <c r="P40" i="38"/>
  <c r="Q40" i="38"/>
  <c r="R40" i="38"/>
  <c r="S40" i="38"/>
  <c r="T40" i="38"/>
  <c r="U40" i="38"/>
  <c r="V40" i="38"/>
  <c r="W40" i="38"/>
  <c r="X40" i="38"/>
  <c r="Y40" i="38"/>
  <c r="Z40" i="38"/>
  <c r="AA40" i="38"/>
  <c r="AB40" i="38"/>
  <c r="AC40" i="38"/>
  <c r="AD40" i="38"/>
  <c r="AE40" i="38"/>
  <c r="AF40" i="38"/>
  <c r="AG40" i="38"/>
  <c r="AH40" i="38"/>
  <c r="AI40" i="38"/>
  <c r="AJ40" i="38"/>
  <c r="AK40" i="38"/>
  <c r="AL40" i="38"/>
  <c r="AM40" i="38"/>
  <c r="AN40" i="38"/>
  <c r="AO40" i="38"/>
  <c r="AP40" i="38"/>
  <c r="AQ40" i="38"/>
  <c r="AR40" i="38"/>
  <c r="AS40" i="38"/>
  <c r="AT40" i="38"/>
  <c r="AU40" i="38"/>
  <c r="AV40" i="38"/>
  <c r="AW40" i="38"/>
  <c r="AX40" i="38"/>
  <c r="AY40" i="38"/>
  <c r="AZ40" i="38"/>
  <c r="BA40" i="38"/>
  <c r="E68" i="38"/>
  <c r="F68" i="38"/>
  <c r="G68" i="38"/>
  <c r="H68" i="38"/>
  <c r="I68" i="38"/>
  <c r="J68" i="38"/>
  <c r="K68" i="38"/>
  <c r="L68" i="38"/>
  <c r="M68" i="38"/>
  <c r="N68" i="38"/>
  <c r="O68" i="38"/>
  <c r="P68" i="38"/>
  <c r="Q68" i="38"/>
  <c r="R68" i="38"/>
  <c r="S68" i="38"/>
  <c r="T68" i="38"/>
  <c r="U68" i="38"/>
  <c r="V68" i="38"/>
  <c r="W68" i="38"/>
  <c r="X68" i="38"/>
  <c r="Y68" i="38"/>
  <c r="Z68" i="38"/>
  <c r="AA68" i="38"/>
  <c r="AB68" i="38"/>
  <c r="AC68" i="38"/>
  <c r="AD68" i="38"/>
  <c r="AE68" i="38"/>
  <c r="AF68" i="38"/>
  <c r="AG68" i="38"/>
  <c r="AH68" i="38"/>
  <c r="AI68" i="38"/>
  <c r="AJ68" i="38"/>
  <c r="AK68" i="38"/>
  <c r="AL68" i="38"/>
  <c r="AM68" i="38"/>
  <c r="AN68" i="38"/>
  <c r="AO68" i="38"/>
  <c r="AP68" i="38"/>
  <c r="AQ68" i="38"/>
  <c r="AR68" i="38"/>
  <c r="AS68" i="38"/>
  <c r="AT68" i="38"/>
  <c r="AU68" i="38"/>
  <c r="AV68" i="38"/>
  <c r="AW68" i="38"/>
  <c r="AX68" i="38"/>
  <c r="AY68" i="38"/>
  <c r="AZ68" i="38"/>
  <c r="BA68" i="38"/>
  <c r="E69" i="38"/>
  <c r="F69" i="38"/>
  <c r="G69" i="38"/>
  <c r="H69" i="38"/>
  <c r="I69" i="38"/>
  <c r="J69" i="38"/>
  <c r="K69" i="38"/>
  <c r="L69" i="38"/>
  <c r="M69" i="38"/>
  <c r="N69" i="38"/>
  <c r="O69" i="38"/>
  <c r="P69" i="38"/>
  <c r="Q69" i="38"/>
  <c r="R69" i="38"/>
  <c r="S69" i="38"/>
  <c r="T69" i="38"/>
  <c r="U69" i="38"/>
  <c r="V69" i="38"/>
  <c r="W69" i="38"/>
  <c r="X69" i="38"/>
  <c r="Y69" i="38"/>
  <c r="Z69" i="38"/>
  <c r="AA69" i="38"/>
  <c r="AB69" i="38"/>
  <c r="AC69" i="38"/>
  <c r="AD69" i="38"/>
  <c r="AE69" i="38"/>
  <c r="AF69" i="38"/>
  <c r="AG69" i="38"/>
  <c r="AH69" i="38"/>
  <c r="AI69" i="38"/>
  <c r="AJ69" i="38"/>
  <c r="AK69" i="38"/>
  <c r="AL69" i="38"/>
  <c r="AM69" i="38"/>
  <c r="AN69" i="38"/>
  <c r="AO69" i="38"/>
  <c r="AP69" i="38"/>
  <c r="AQ69" i="38"/>
  <c r="AR69" i="38"/>
  <c r="AS69" i="38"/>
  <c r="AT69" i="38"/>
  <c r="AU69" i="38"/>
  <c r="AV69" i="38"/>
  <c r="AW69" i="38"/>
  <c r="AX69" i="38"/>
  <c r="AY69" i="38"/>
  <c r="AZ69" i="38"/>
  <c r="BA69" i="38"/>
  <c r="E42" i="38"/>
  <c r="D42" i="38"/>
  <c r="F42" i="38"/>
  <c r="G42" i="38"/>
  <c r="H42" i="38"/>
  <c r="I42" i="38"/>
  <c r="J42" i="38"/>
  <c r="K42" i="38"/>
  <c r="L42" i="38"/>
  <c r="M42" i="38"/>
  <c r="N42" i="38"/>
  <c r="O42" i="38"/>
  <c r="P42" i="38"/>
  <c r="Q42" i="38"/>
  <c r="R42" i="38"/>
  <c r="S42" i="38"/>
  <c r="T42" i="38"/>
  <c r="U42" i="38"/>
  <c r="V42" i="38"/>
  <c r="W42" i="38"/>
  <c r="X42" i="38"/>
  <c r="Y42" i="38"/>
  <c r="Z42" i="38"/>
  <c r="AA42" i="38"/>
  <c r="AB42" i="38"/>
  <c r="AC42" i="38"/>
  <c r="AD42" i="38"/>
  <c r="AE42" i="38"/>
  <c r="AF42" i="38"/>
  <c r="AG42" i="38"/>
  <c r="AH42" i="38"/>
  <c r="AI42" i="38"/>
  <c r="AJ42" i="38"/>
  <c r="AK42" i="38"/>
  <c r="AL42" i="38"/>
  <c r="AM42" i="38"/>
  <c r="AN42" i="38"/>
  <c r="AO42" i="38"/>
  <c r="AP42" i="38"/>
  <c r="AQ42" i="38"/>
  <c r="AR42" i="38"/>
  <c r="AS42" i="38"/>
  <c r="AT42" i="38"/>
  <c r="AU42" i="38"/>
  <c r="AV42" i="38"/>
  <c r="AW42" i="38"/>
  <c r="AX42" i="38"/>
  <c r="AY42" i="38"/>
  <c r="AZ42" i="38"/>
  <c r="BA42" i="38"/>
  <c r="E70" i="38"/>
  <c r="F70" i="38"/>
  <c r="G70" i="38"/>
  <c r="H70" i="38"/>
  <c r="I70" i="38"/>
  <c r="J70" i="38"/>
  <c r="K70" i="38"/>
  <c r="L70" i="38"/>
  <c r="M70" i="38"/>
  <c r="N70" i="38"/>
  <c r="O70" i="38"/>
  <c r="P70" i="38"/>
  <c r="Q70" i="38"/>
  <c r="R70" i="38"/>
  <c r="S70" i="38"/>
  <c r="T70" i="38"/>
  <c r="U70" i="38"/>
  <c r="V70" i="38"/>
  <c r="W70" i="38"/>
  <c r="X70" i="38"/>
  <c r="Y70" i="38"/>
  <c r="Z70" i="38"/>
  <c r="AA70" i="38"/>
  <c r="AB70" i="38"/>
  <c r="AC70" i="38"/>
  <c r="AD70" i="38"/>
  <c r="AE70" i="38"/>
  <c r="AF70" i="38"/>
  <c r="AG70" i="38"/>
  <c r="AH70" i="38"/>
  <c r="AI70" i="38"/>
  <c r="AJ70" i="38"/>
  <c r="AK70" i="38"/>
  <c r="AL70" i="38"/>
  <c r="AM70" i="38"/>
  <c r="AN70" i="38"/>
  <c r="AO70" i="38"/>
  <c r="AP70" i="38"/>
  <c r="AQ70" i="38"/>
  <c r="AR70" i="38"/>
  <c r="AS70" i="38"/>
  <c r="AT70" i="38"/>
  <c r="AU70" i="38"/>
  <c r="AV70" i="38"/>
  <c r="AW70" i="38"/>
  <c r="AX70" i="38"/>
  <c r="AY70" i="38"/>
  <c r="AZ70" i="38"/>
  <c r="BA70" i="38"/>
  <c r="E43" i="38"/>
  <c r="D43" i="38"/>
  <c r="F43" i="38"/>
  <c r="G43" i="38"/>
  <c r="H43" i="38"/>
  <c r="I43" i="38"/>
  <c r="J43" i="38"/>
  <c r="K43" i="38"/>
  <c r="L43" i="38"/>
  <c r="M43" i="38"/>
  <c r="N43" i="38"/>
  <c r="O43" i="38"/>
  <c r="P43" i="38"/>
  <c r="Q43" i="38"/>
  <c r="R43" i="38"/>
  <c r="S43" i="38"/>
  <c r="T43" i="38"/>
  <c r="U43" i="38"/>
  <c r="V43" i="38"/>
  <c r="W43" i="38"/>
  <c r="X43" i="38"/>
  <c r="Y43" i="38"/>
  <c r="Z43" i="38"/>
  <c r="AA43" i="38"/>
  <c r="AB43" i="38"/>
  <c r="AC43" i="38"/>
  <c r="AD43" i="38"/>
  <c r="AE43" i="38"/>
  <c r="AF43" i="38"/>
  <c r="AG43" i="38"/>
  <c r="AH43" i="38"/>
  <c r="AI43" i="38"/>
  <c r="AJ43" i="38"/>
  <c r="AK43" i="38"/>
  <c r="AL43" i="38"/>
  <c r="AM43" i="38"/>
  <c r="AN43" i="38"/>
  <c r="AO43" i="38"/>
  <c r="AP43" i="38"/>
  <c r="AQ43" i="38"/>
  <c r="AR43" i="38"/>
  <c r="AS43" i="38"/>
  <c r="AT43" i="38"/>
  <c r="AU43" i="38"/>
  <c r="AV43" i="38"/>
  <c r="AW43" i="38"/>
  <c r="AX43" i="38"/>
  <c r="AY43" i="38"/>
  <c r="AZ43" i="38"/>
  <c r="BA43" i="38"/>
  <c r="E71" i="38"/>
  <c r="F71" i="38"/>
  <c r="G71" i="38"/>
  <c r="H71" i="38"/>
  <c r="I71" i="38"/>
  <c r="J71" i="38"/>
  <c r="K71" i="38"/>
  <c r="L71" i="38"/>
  <c r="M71" i="38"/>
  <c r="N71" i="38"/>
  <c r="O71" i="38"/>
  <c r="P71" i="38"/>
  <c r="Q71" i="38"/>
  <c r="R71" i="38"/>
  <c r="S71" i="38"/>
  <c r="T71" i="38"/>
  <c r="U71" i="38"/>
  <c r="V71" i="38"/>
  <c r="W71" i="38"/>
  <c r="X71" i="38"/>
  <c r="Y71" i="38"/>
  <c r="Z71" i="38"/>
  <c r="AA71" i="38"/>
  <c r="AB71" i="38"/>
  <c r="AC71" i="38"/>
  <c r="AD71" i="38"/>
  <c r="AE71" i="38"/>
  <c r="AF71" i="38"/>
  <c r="AG71" i="38"/>
  <c r="AH71" i="38"/>
  <c r="AI71" i="38"/>
  <c r="AJ71" i="38"/>
  <c r="AK71" i="38"/>
  <c r="AL71" i="38"/>
  <c r="AM71" i="38"/>
  <c r="AN71" i="38"/>
  <c r="AO71" i="38"/>
  <c r="AP71" i="38"/>
  <c r="AQ71" i="38"/>
  <c r="AR71" i="38"/>
  <c r="AS71" i="38"/>
  <c r="AT71" i="38"/>
  <c r="AU71" i="38"/>
  <c r="AV71" i="38"/>
  <c r="AW71" i="38"/>
  <c r="AX71" i="38"/>
  <c r="AY71" i="38"/>
  <c r="AZ71" i="38"/>
  <c r="BA71" i="38"/>
  <c r="E44" i="38"/>
  <c r="D44" i="38"/>
  <c r="F44" i="38"/>
  <c r="G44" i="38"/>
  <c r="H44" i="38"/>
  <c r="I44" i="38"/>
  <c r="J44" i="38"/>
  <c r="K44" i="38"/>
  <c r="L44" i="38"/>
  <c r="M44" i="38"/>
  <c r="N44" i="38"/>
  <c r="O44" i="38"/>
  <c r="P44" i="38"/>
  <c r="Q44" i="38"/>
  <c r="R44" i="38"/>
  <c r="S44" i="38"/>
  <c r="T44" i="38"/>
  <c r="U44" i="38"/>
  <c r="V44" i="38"/>
  <c r="W44" i="38"/>
  <c r="X44" i="38"/>
  <c r="Y44" i="38"/>
  <c r="Z44" i="38"/>
  <c r="AA44" i="38"/>
  <c r="AB44" i="38"/>
  <c r="AC44" i="38"/>
  <c r="AD44" i="38"/>
  <c r="AE44" i="38"/>
  <c r="AF44" i="38"/>
  <c r="AG44" i="38"/>
  <c r="AH44" i="38"/>
  <c r="AI44" i="38"/>
  <c r="AJ44" i="38"/>
  <c r="AK44" i="38"/>
  <c r="AL44" i="38"/>
  <c r="AM44" i="38"/>
  <c r="AN44" i="38"/>
  <c r="AO44" i="38"/>
  <c r="AP44" i="38"/>
  <c r="AQ44" i="38"/>
  <c r="AR44" i="38"/>
  <c r="AS44" i="38"/>
  <c r="AT44" i="38"/>
  <c r="AU44" i="38"/>
  <c r="AV44" i="38"/>
  <c r="AW44" i="38"/>
  <c r="AX44" i="38"/>
  <c r="AY44" i="38"/>
  <c r="AZ44" i="38"/>
  <c r="BA44" i="38"/>
  <c r="E72" i="38"/>
  <c r="F72" i="38"/>
  <c r="G72" i="38"/>
  <c r="H72" i="38"/>
  <c r="I72" i="38"/>
  <c r="J72" i="38"/>
  <c r="K72" i="38"/>
  <c r="L72" i="38"/>
  <c r="M72" i="38"/>
  <c r="N72" i="38"/>
  <c r="O72" i="38"/>
  <c r="P72" i="38"/>
  <c r="Q72" i="38"/>
  <c r="R72" i="38"/>
  <c r="S72" i="38"/>
  <c r="T72" i="38"/>
  <c r="U72" i="38"/>
  <c r="V72" i="38"/>
  <c r="W72" i="38"/>
  <c r="X72" i="38"/>
  <c r="Y72" i="38"/>
  <c r="Z72" i="38"/>
  <c r="AA72" i="38"/>
  <c r="AB72" i="38"/>
  <c r="AC72" i="38"/>
  <c r="AD72" i="38"/>
  <c r="AE72" i="38"/>
  <c r="AF72" i="38"/>
  <c r="AG72" i="38"/>
  <c r="AH72" i="38"/>
  <c r="AI72" i="38"/>
  <c r="AJ72" i="38"/>
  <c r="AK72" i="38"/>
  <c r="AL72" i="38"/>
  <c r="AM72" i="38"/>
  <c r="AN72" i="38"/>
  <c r="AO72" i="38"/>
  <c r="AP72" i="38"/>
  <c r="AQ72" i="38"/>
  <c r="AR72" i="38"/>
  <c r="AS72" i="38"/>
  <c r="AT72" i="38"/>
  <c r="AU72" i="38"/>
  <c r="AV72" i="38"/>
  <c r="AW72" i="38"/>
  <c r="AX72" i="38"/>
  <c r="AY72" i="38"/>
  <c r="AZ72" i="38"/>
  <c r="BA72" i="38"/>
  <c r="E45" i="38"/>
  <c r="D45" i="38"/>
  <c r="F45" i="38"/>
  <c r="G45" i="38"/>
  <c r="H45" i="38"/>
  <c r="I45" i="38"/>
  <c r="J45" i="38"/>
  <c r="K45" i="38"/>
  <c r="L45" i="38"/>
  <c r="M45" i="38"/>
  <c r="N45" i="38"/>
  <c r="O45" i="38"/>
  <c r="P45" i="38"/>
  <c r="Q45" i="38"/>
  <c r="R45" i="38"/>
  <c r="S45" i="38"/>
  <c r="T45" i="38"/>
  <c r="U45" i="38"/>
  <c r="V45" i="38"/>
  <c r="W45" i="38"/>
  <c r="X45" i="38"/>
  <c r="Y45" i="38"/>
  <c r="Z45" i="38"/>
  <c r="AA45" i="38"/>
  <c r="AB45" i="38"/>
  <c r="AC45" i="38"/>
  <c r="AD45" i="38"/>
  <c r="AE45" i="38"/>
  <c r="AF45" i="38"/>
  <c r="AG45" i="38"/>
  <c r="AH45" i="38"/>
  <c r="AI45" i="38"/>
  <c r="AJ45" i="38"/>
  <c r="AK45" i="38"/>
  <c r="AL45" i="38"/>
  <c r="AM45" i="38"/>
  <c r="AN45" i="38"/>
  <c r="AO45" i="38"/>
  <c r="AP45" i="38"/>
  <c r="AQ45" i="38"/>
  <c r="AR45" i="38"/>
  <c r="AS45" i="38"/>
  <c r="AT45" i="38"/>
  <c r="AU45" i="38"/>
  <c r="AV45" i="38"/>
  <c r="AW45" i="38"/>
  <c r="AX45" i="38"/>
  <c r="AY45" i="38"/>
  <c r="AZ45" i="38"/>
  <c r="BA45" i="38"/>
  <c r="E73" i="38"/>
  <c r="F73" i="38"/>
  <c r="G73" i="38"/>
  <c r="H73" i="38"/>
  <c r="I73" i="38"/>
  <c r="J73" i="38"/>
  <c r="K73" i="38"/>
  <c r="L73" i="38"/>
  <c r="M73" i="38"/>
  <c r="N73" i="38"/>
  <c r="O73" i="38"/>
  <c r="P73" i="38"/>
  <c r="Q73" i="38"/>
  <c r="R73" i="38"/>
  <c r="S73" i="38"/>
  <c r="T73" i="38"/>
  <c r="U73" i="38"/>
  <c r="V73" i="38"/>
  <c r="W73" i="38"/>
  <c r="X73" i="38"/>
  <c r="Y73" i="38"/>
  <c r="Z73" i="38"/>
  <c r="AA73" i="38"/>
  <c r="AB73" i="38"/>
  <c r="AC73" i="38"/>
  <c r="AD73" i="38"/>
  <c r="AE73" i="38"/>
  <c r="AF73" i="38"/>
  <c r="AG73" i="38"/>
  <c r="AH73" i="38"/>
  <c r="AI73" i="38"/>
  <c r="AJ73" i="38"/>
  <c r="AK73" i="38"/>
  <c r="AL73" i="38"/>
  <c r="AM73" i="38"/>
  <c r="AN73" i="38"/>
  <c r="AO73" i="38"/>
  <c r="AP73" i="38"/>
  <c r="AQ73" i="38"/>
  <c r="AR73" i="38"/>
  <c r="AS73" i="38"/>
  <c r="AT73" i="38"/>
  <c r="AU73" i="38"/>
  <c r="AV73" i="38"/>
  <c r="AW73" i="38"/>
  <c r="AX73" i="38"/>
  <c r="AY73" i="38"/>
  <c r="AZ73" i="38"/>
  <c r="BA73" i="38"/>
  <c r="E46" i="38"/>
  <c r="D46" i="38"/>
  <c r="F46" i="38"/>
  <c r="G46" i="38"/>
  <c r="H46" i="38"/>
  <c r="I46" i="38"/>
  <c r="J46" i="38"/>
  <c r="K46" i="38"/>
  <c r="L46" i="38"/>
  <c r="M46" i="38"/>
  <c r="N46" i="38"/>
  <c r="O46" i="38"/>
  <c r="P46" i="38"/>
  <c r="Q46" i="38"/>
  <c r="R46" i="38"/>
  <c r="S46" i="38"/>
  <c r="T46" i="38"/>
  <c r="U46" i="38"/>
  <c r="V46" i="38"/>
  <c r="W46" i="38"/>
  <c r="X46" i="38"/>
  <c r="Y46" i="38"/>
  <c r="Z46" i="38"/>
  <c r="AA46" i="38"/>
  <c r="AB46" i="38"/>
  <c r="AC46" i="38"/>
  <c r="AD46" i="38"/>
  <c r="AE46" i="38"/>
  <c r="AF46" i="38"/>
  <c r="AG46" i="38"/>
  <c r="AH46" i="38"/>
  <c r="AI46" i="38"/>
  <c r="AJ46" i="38"/>
  <c r="AK46" i="38"/>
  <c r="AL46" i="38"/>
  <c r="AM46" i="38"/>
  <c r="AN46" i="38"/>
  <c r="AO46" i="38"/>
  <c r="AP46" i="38"/>
  <c r="AQ46" i="38"/>
  <c r="AR46" i="38"/>
  <c r="AS46" i="38"/>
  <c r="AT46" i="38"/>
  <c r="AU46" i="38"/>
  <c r="AV46" i="38"/>
  <c r="AW46" i="38"/>
  <c r="AX46" i="38"/>
  <c r="AY46" i="38"/>
  <c r="AZ46" i="38"/>
  <c r="BA46" i="38"/>
  <c r="E74" i="38"/>
  <c r="F74" i="38"/>
  <c r="G74" i="38"/>
  <c r="H74" i="38"/>
  <c r="I74" i="38"/>
  <c r="J74" i="38"/>
  <c r="K74" i="38"/>
  <c r="L74" i="38"/>
  <c r="M74" i="38"/>
  <c r="N74" i="38"/>
  <c r="O74" i="38"/>
  <c r="P74" i="38"/>
  <c r="Q74" i="38"/>
  <c r="R74" i="38"/>
  <c r="S74" i="38"/>
  <c r="T74" i="38"/>
  <c r="U74" i="38"/>
  <c r="V74" i="38"/>
  <c r="W74" i="38"/>
  <c r="X74" i="38"/>
  <c r="Y74" i="38"/>
  <c r="Z74" i="38"/>
  <c r="AA74" i="38"/>
  <c r="AB74" i="38"/>
  <c r="AC74" i="38"/>
  <c r="AD74" i="38"/>
  <c r="AE74" i="38"/>
  <c r="AF74" i="38"/>
  <c r="AG74" i="38"/>
  <c r="AH74" i="38"/>
  <c r="AI74" i="38"/>
  <c r="AJ74" i="38"/>
  <c r="AK74" i="38"/>
  <c r="AL74" i="38"/>
  <c r="AM74" i="38"/>
  <c r="AN74" i="38"/>
  <c r="AO74" i="38"/>
  <c r="AP74" i="38"/>
  <c r="AQ74" i="38"/>
  <c r="AR74" i="38"/>
  <c r="AS74" i="38"/>
  <c r="AT74" i="38"/>
  <c r="AU74" i="38"/>
  <c r="AV74" i="38"/>
  <c r="AW74" i="38"/>
  <c r="AX74" i="38"/>
  <c r="AY74" i="38"/>
  <c r="AZ74" i="38"/>
  <c r="BA74" i="38"/>
  <c r="E47" i="38"/>
  <c r="D47" i="38"/>
  <c r="F47" i="38"/>
  <c r="G47" i="38"/>
  <c r="H47" i="38"/>
  <c r="I47" i="38"/>
  <c r="J47" i="38"/>
  <c r="K47" i="38"/>
  <c r="L47" i="38"/>
  <c r="M47" i="38"/>
  <c r="N47" i="38"/>
  <c r="O47" i="38"/>
  <c r="P47" i="38"/>
  <c r="Q47" i="38"/>
  <c r="R47" i="38"/>
  <c r="S47" i="38"/>
  <c r="T47" i="38"/>
  <c r="U47" i="38"/>
  <c r="V47" i="38"/>
  <c r="W47" i="38"/>
  <c r="X47" i="38"/>
  <c r="Y47" i="38"/>
  <c r="Z47" i="38"/>
  <c r="AA47" i="38"/>
  <c r="AB47" i="38"/>
  <c r="AC47" i="38"/>
  <c r="AD47" i="38"/>
  <c r="AE47" i="38"/>
  <c r="AF47" i="38"/>
  <c r="AG47" i="38"/>
  <c r="AH47" i="38"/>
  <c r="AI47" i="38"/>
  <c r="AJ47" i="38"/>
  <c r="AK47" i="38"/>
  <c r="AL47" i="38"/>
  <c r="AM47" i="38"/>
  <c r="AN47" i="38"/>
  <c r="AO47" i="38"/>
  <c r="AP47" i="38"/>
  <c r="AQ47" i="38"/>
  <c r="AR47" i="38"/>
  <c r="AS47" i="38"/>
  <c r="AT47" i="38"/>
  <c r="AU47" i="38"/>
  <c r="AV47" i="38"/>
  <c r="AW47" i="38"/>
  <c r="AX47" i="38"/>
  <c r="AY47" i="38"/>
  <c r="AZ47" i="38"/>
  <c r="BA47" i="38"/>
  <c r="E75" i="38"/>
  <c r="F75" i="38"/>
  <c r="G75" i="38"/>
  <c r="H75" i="38"/>
  <c r="I75" i="38"/>
  <c r="J75" i="38"/>
  <c r="K75" i="38"/>
  <c r="L75" i="38"/>
  <c r="M75" i="38"/>
  <c r="N75" i="38"/>
  <c r="O75" i="38"/>
  <c r="P75" i="38"/>
  <c r="Q75" i="38"/>
  <c r="R75" i="38"/>
  <c r="S75" i="38"/>
  <c r="T75" i="38"/>
  <c r="U75" i="38"/>
  <c r="V75" i="38"/>
  <c r="W75" i="38"/>
  <c r="X75" i="38"/>
  <c r="Y75" i="38"/>
  <c r="Z75" i="38"/>
  <c r="AA75" i="38"/>
  <c r="AB75" i="38"/>
  <c r="AC75" i="38"/>
  <c r="AD75" i="38"/>
  <c r="AE75" i="38"/>
  <c r="AF75" i="38"/>
  <c r="AG75" i="38"/>
  <c r="AH75" i="38"/>
  <c r="AI75" i="38"/>
  <c r="AJ75" i="38"/>
  <c r="AK75" i="38"/>
  <c r="AL75" i="38"/>
  <c r="AM75" i="38"/>
  <c r="AN75" i="38"/>
  <c r="AO75" i="38"/>
  <c r="AP75" i="38"/>
  <c r="AQ75" i="38"/>
  <c r="AR75" i="38"/>
  <c r="AS75" i="38"/>
  <c r="AT75" i="38"/>
  <c r="AU75" i="38"/>
  <c r="AV75" i="38"/>
  <c r="AW75" i="38"/>
  <c r="AX75" i="38"/>
  <c r="AY75" i="38"/>
  <c r="AZ75" i="38"/>
  <c r="BA75" i="38"/>
  <c r="E76" i="38"/>
  <c r="F76" i="38"/>
  <c r="G76" i="38"/>
  <c r="H76" i="38"/>
  <c r="I76" i="38"/>
  <c r="J76" i="38"/>
  <c r="K76" i="38"/>
  <c r="L76" i="38"/>
  <c r="M76" i="38"/>
  <c r="N76" i="38"/>
  <c r="O76" i="38"/>
  <c r="P76" i="38"/>
  <c r="Q76" i="38"/>
  <c r="R76" i="38"/>
  <c r="S76" i="38"/>
  <c r="T76" i="38"/>
  <c r="U76" i="38"/>
  <c r="V76" i="38"/>
  <c r="W76" i="38"/>
  <c r="X76" i="38"/>
  <c r="Y76" i="38"/>
  <c r="Z76" i="38"/>
  <c r="AA76" i="38"/>
  <c r="AB76" i="38"/>
  <c r="AC76" i="38"/>
  <c r="AD76" i="38"/>
  <c r="AE76" i="38"/>
  <c r="AF76" i="38"/>
  <c r="AG76" i="38"/>
  <c r="AH76" i="38"/>
  <c r="AI76" i="38"/>
  <c r="AJ76" i="38"/>
  <c r="AK76" i="38"/>
  <c r="AL76" i="38"/>
  <c r="AM76" i="38"/>
  <c r="AN76" i="38"/>
  <c r="AO76" i="38"/>
  <c r="AP76" i="38"/>
  <c r="AQ76" i="38"/>
  <c r="AR76" i="38"/>
  <c r="AS76" i="38"/>
  <c r="AT76" i="38"/>
  <c r="AU76" i="38"/>
  <c r="AV76" i="38"/>
  <c r="AW76" i="38"/>
  <c r="AX76" i="38"/>
  <c r="AY76" i="38"/>
  <c r="AZ76" i="38"/>
  <c r="BA76" i="38"/>
  <c r="BA52" i="38"/>
  <c r="D52" i="38"/>
  <c r="E52" i="38"/>
  <c r="F52" i="38"/>
  <c r="G52" i="38"/>
  <c r="H52" i="38"/>
  <c r="I52" i="38"/>
  <c r="J52" i="38"/>
  <c r="K52" i="38"/>
  <c r="L52" i="38"/>
  <c r="M52" i="38"/>
  <c r="N52" i="38"/>
  <c r="O52" i="38"/>
  <c r="P52" i="38"/>
  <c r="Q52" i="38"/>
  <c r="R52" i="38"/>
  <c r="S52" i="38"/>
  <c r="T52" i="38"/>
  <c r="U52" i="38"/>
  <c r="V52" i="38"/>
  <c r="W52" i="38"/>
  <c r="X52" i="38"/>
  <c r="Y52" i="38"/>
  <c r="Z52" i="38"/>
  <c r="AA52" i="38"/>
  <c r="AB52" i="38"/>
  <c r="AC52" i="38"/>
  <c r="AD52" i="38"/>
  <c r="AE52" i="38"/>
  <c r="AF52" i="38"/>
  <c r="AG52" i="38"/>
  <c r="AH52" i="38"/>
  <c r="AI52" i="38"/>
  <c r="AJ52" i="38"/>
  <c r="AK52" i="38"/>
  <c r="AL52" i="38"/>
  <c r="AM52" i="38"/>
  <c r="AN52" i="38"/>
  <c r="AO52" i="38"/>
  <c r="AP52" i="38"/>
  <c r="AQ52" i="38"/>
  <c r="AR52" i="38"/>
  <c r="AS52" i="38"/>
  <c r="AT52" i="38"/>
  <c r="AU52" i="38"/>
  <c r="AV52" i="38"/>
  <c r="AW52" i="38"/>
  <c r="AX52" i="38"/>
  <c r="AY52" i="38"/>
  <c r="AZ52" i="38"/>
  <c r="BA53" i="38"/>
  <c r="D53" i="38"/>
  <c r="E53" i="38"/>
  <c r="F53" i="38"/>
  <c r="G53" i="38"/>
  <c r="H53" i="38"/>
  <c r="I53" i="38"/>
  <c r="J53" i="38"/>
  <c r="K53" i="38"/>
  <c r="L53" i="38"/>
  <c r="M53" i="38"/>
  <c r="N53" i="38"/>
  <c r="O53" i="38"/>
  <c r="P53" i="38"/>
  <c r="Q53" i="38"/>
  <c r="R53" i="38"/>
  <c r="S53" i="38"/>
  <c r="T53" i="38"/>
  <c r="U53" i="38"/>
  <c r="V53" i="38"/>
  <c r="W53" i="38"/>
  <c r="X53" i="38"/>
  <c r="Y53" i="38"/>
  <c r="Z53" i="38"/>
  <c r="AA53" i="38"/>
  <c r="AB53" i="38"/>
  <c r="AC53" i="38"/>
  <c r="AD53" i="38"/>
  <c r="AE53" i="38"/>
  <c r="AF53" i="38"/>
  <c r="AG53" i="38"/>
  <c r="AH53" i="38"/>
  <c r="AI53" i="38"/>
  <c r="AJ53" i="38"/>
  <c r="AK53" i="38"/>
  <c r="AL53" i="38"/>
  <c r="AM53" i="38"/>
  <c r="AN53" i="38"/>
  <c r="AO53" i="38"/>
  <c r="AP53" i="38"/>
  <c r="AQ53" i="38"/>
  <c r="AR53" i="38"/>
  <c r="AS53" i="38"/>
  <c r="AT53" i="38"/>
  <c r="AU53" i="38"/>
  <c r="AV53" i="38"/>
  <c r="AW53" i="38"/>
  <c r="AX53" i="38"/>
  <c r="AY53" i="38"/>
  <c r="AZ53" i="38"/>
  <c r="BA54" i="38"/>
  <c r="D54" i="38"/>
  <c r="E54" i="38"/>
  <c r="F54" i="38"/>
  <c r="G54" i="38"/>
  <c r="H54" i="38"/>
  <c r="I54" i="38"/>
  <c r="J54" i="38"/>
  <c r="K54" i="38"/>
  <c r="L54" i="38"/>
  <c r="M54" i="38"/>
  <c r="N54" i="38"/>
  <c r="O54" i="38"/>
  <c r="P54" i="38"/>
  <c r="Q54" i="38"/>
  <c r="R54" i="38"/>
  <c r="S54" i="38"/>
  <c r="T54" i="38"/>
  <c r="U54" i="38"/>
  <c r="V54" i="38"/>
  <c r="W54" i="38"/>
  <c r="X54" i="38"/>
  <c r="Y54" i="38"/>
  <c r="Z54" i="38"/>
  <c r="AA54" i="38"/>
  <c r="AB54" i="38"/>
  <c r="AC54" i="38"/>
  <c r="AD54" i="38"/>
  <c r="AE54" i="38"/>
  <c r="AF54" i="38"/>
  <c r="AG54" i="38"/>
  <c r="AH54" i="38"/>
  <c r="AI54" i="38"/>
  <c r="AJ54" i="38"/>
  <c r="AK54" i="38"/>
  <c r="AL54" i="38"/>
  <c r="AM54" i="38"/>
  <c r="AN54" i="38"/>
  <c r="AO54" i="38"/>
  <c r="AP54" i="38"/>
  <c r="AQ54" i="38"/>
  <c r="AR54" i="38"/>
  <c r="AS54" i="38"/>
  <c r="AT54" i="38"/>
  <c r="AU54" i="38"/>
  <c r="AV54" i="38"/>
  <c r="AW54" i="38"/>
  <c r="AX54" i="38"/>
  <c r="AY54" i="38"/>
  <c r="AZ54" i="38"/>
  <c r="BA55" i="38"/>
  <c r="D55" i="38"/>
  <c r="E55" i="38"/>
  <c r="F55" i="38"/>
  <c r="G55" i="38"/>
  <c r="H55" i="38"/>
  <c r="I55" i="38"/>
  <c r="J55" i="38"/>
  <c r="K55" i="38"/>
  <c r="L55" i="38"/>
  <c r="M55" i="38"/>
  <c r="N55" i="38"/>
  <c r="O55" i="38"/>
  <c r="P55" i="38"/>
  <c r="Q55" i="38"/>
  <c r="R55" i="38"/>
  <c r="S55" i="38"/>
  <c r="T55" i="38"/>
  <c r="U55" i="38"/>
  <c r="V55" i="38"/>
  <c r="W55" i="38"/>
  <c r="X55" i="38"/>
  <c r="Y55" i="38"/>
  <c r="Z55" i="38"/>
  <c r="AA55" i="38"/>
  <c r="AB55" i="38"/>
  <c r="AC55" i="38"/>
  <c r="AD55" i="38"/>
  <c r="AE55" i="38"/>
  <c r="AF55" i="38"/>
  <c r="AG55" i="38"/>
  <c r="AH55" i="38"/>
  <c r="AI55" i="38"/>
  <c r="AJ55" i="38"/>
  <c r="AK55" i="38"/>
  <c r="AL55" i="38"/>
  <c r="AM55" i="38"/>
  <c r="AN55" i="38"/>
  <c r="AO55" i="38"/>
  <c r="AP55" i="38"/>
  <c r="AQ55" i="38"/>
  <c r="AR55" i="38"/>
  <c r="AS55" i="38"/>
  <c r="AT55" i="38"/>
  <c r="AU55" i="38"/>
  <c r="AV55" i="38"/>
  <c r="AW55" i="38"/>
  <c r="AX55" i="38"/>
  <c r="AY55" i="38"/>
  <c r="AZ55" i="38"/>
  <c r="BA56" i="38"/>
  <c r="D56" i="38"/>
  <c r="E56" i="38"/>
  <c r="F56" i="38"/>
  <c r="G56" i="38"/>
  <c r="H56" i="38"/>
  <c r="I56" i="38"/>
  <c r="J56" i="38"/>
  <c r="K56" i="38"/>
  <c r="L56" i="38"/>
  <c r="M56" i="38"/>
  <c r="N56" i="38"/>
  <c r="O56" i="38"/>
  <c r="P56" i="38"/>
  <c r="Q56" i="38"/>
  <c r="R56" i="38"/>
  <c r="S56" i="38"/>
  <c r="T56" i="38"/>
  <c r="U56" i="38"/>
  <c r="V56" i="38"/>
  <c r="W56" i="38"/>
  <c r="X56" i="38"/>
  <c r="Y56" i="38"/>
  <c r="Z56" i="38"/>
  <c r="AA56" i="38"/>
  <c r="AB56" i="38"/>
  <c r="AC56" i="38"/>
  <c r="AD56" i="38"/>
  <c r="AE56" i="38"/>
  <c r="AF56" i="38"/>
  <c r="AG56" i="38"/>
  <c r="AH56" i="38"/>
  <c r="AI56" i="38"/>
  <c r="AJ56" i="38"/>
  <c r="AK56" i="38"/>
  <c r="AL56" i="38"/>
  <c r="AM56" i="38"/>
  <c r="AN56" i="38"/>
  <c r="AO56" i="38"/>
  <c r="AP56" i="38"/>
  <c r="AQ56" i="38"/>
  <c r="AR56" i="38"/>
  <c r="AS56" i="38"/>
  <c r="AT56" i="38"/>
  <c r="AU56" i="38"/>
  <c r="AV56" i="38"/>
  <c r="AW56" i="38"/>
  <c r="AX56" i="38"/>
  <c r="AY56" i="38"/>
  <c r="AZ56" i="38"/>
  <c r="BA57" i="38"/>
  <c r="D57" i="38"/>
  <c r="E57" i="38"/>
  <c r="F57" i="38"/>
  <c r="G57" i="38"/>
  <c r="H57" i="38"/>
  <c r="I57" i="38"/>
  <c r="J57" i="38"/>
  <c r="K57" i="38"/>
  <c r="L57" i="38"/>
  <c r="M57" i="38"/>
  <c r="N57" i="38"/>
  <c r="O57" i="38"/>
  <c r="P57" i="38"/>
  <c r="Q57" i="38"/>
  <c r="R57" i="38"/>
  <c r="S57" i="38"/>
  <c r="T57" i="38"/>
  <c r="U57" i="38"/>
  <c r="V57" i="38"/>
  <c r="W57" i="38"/>
  <c r="X57" i="38"/>
  <c r="Y57" i="38"/>
  <c r="Z57" i="38"/>
  <c r="AA57" i="38"/>
  <c r="AB57" i="38"/>
  <c r="AC57" i="38"/>
  <c r="AD57" i="38"/>
  <c r="AE57" i="38"/>
  <c r="AF57" i="38"/>
  <c r="AG57" i="38"/>
  <c r="AH57" i="38"/>
  <c r="AI57" i="38"/>
  <c r="AJ57" i="38"/>
  <c r="AK57" i="38"/>
  <c r="AL57" i="38"/>
  <c r="AM57" i="38"/>
  <c r="AN57" i="38"/>
  <c r="AO57" i="38"/>
  <c r="AP57" i="38"/>
  <c r="AQ57" i="38"/>
  <c r="AR57" i="38"/>
  <c r="AS57" i="38"/>
  <c r="AT57" i="38"/>
  <c r="AU57" i="38"/>
  <c r="AV57" i="38"/>
  <c r="AW57" i="38"/>
  <c r="AX57" i="38"/>
  <c r="AY57" i="38"/>
  <c r="AZ57" i="38"/>
  <c r="BA58" i="38"/>
  <c r="D58" i="38"/>
  <c r="E58" i="38"/>
  <c r="F58" i="38"/>
  <c r="G58" i="38"/>
  <c r="H58" i="38"/>
  <c r="I58" i="38"/>
  <c r="J58" i="38"/>
  <c r="K58" i="38"/>
  <c r="L58" i="38"/>
  <c r="M58" i="38"/>
  <c r="N58" i="38"/>
  <c r="O58" i="38"/>
  <c r="P58" i="38"/>
  <c r="Q58" i="38"/>
  <c r="R58" i="38"/>
  <c r="S58" i="38"/>
  <c r="T58" i="38"/>
  <c r="U58" i="38"/>
  <c r="V58" i="38"/>
  <c r="W58" i="38"/>
  <c r="X58" i="38"/>
  <c r="Y58" i="38"/>
  <c r="Z58" i="38"/>
  <c r="AA58" i="38"/>
  <c r="AB58" i="38"/>
  <c r="AC58" i="38"/>
  <c r="AD58" i="38"/>
  <c r="AE58" i="38"/>
  <c r="AF58" i="38"/>
  <c r="AG58" i="38"/>
  <c r="AH58" i="38"/>
  <c r="AI58" i="38"/>
  <c r="AJ58" i="38"/>
  <c r="AK58" i="38"/>
  <c r="AL58" i="38"/>
  <c r="AM58" i="38"/>
  <c r="AN58" i="38"/>
  <c r="AO58" i="38"/>
  <c r="AP58" i="38"/>
  <c r="AQ58" i="38"/>
  <c r="AR58" i="38"/>
  <c r="AS58" i="38"/>
  <c r="AT58" i="38"/>
  <c r="AU58" i="38"/>
  <c r="AV58" i="38"/>
  <c r="AW58" i="38"/>
  <c r="AX58" i="38"/>
  <c r="AY58" i="38"/>
  <c r="AZ58" i="38"/>
  <c r="BA59" i="38"/>
  <c r="D59" i="38"/>
  <c r="E59" i="38"/>
  <c r="F59" i="38"/>
  <c r="G59" i="38"/>
  <c r="H59" i="38"/>
  <c r="I59" i="38"/>
  <c r="J59" i="38"/>
  <c r="K59" i="38"/>
  <c r="L59" i="38"/>
  <c r="M59" i="38"/>
  <c r="N59" i="38"/>
  <c r="O59" i="38"/>
  <c r="P59" i="38"/>
  <c r="Q59" i="38"/>
  <c r="R59" i="38"/>
  <c r="S59" i="38"/>
  <c r="T59" i="38"/>
  <c r="U59" i="38"/>
  <c r="V59" i="38"/>
  <c r="W59" i="38"/>
  <c r="X59" i="38"/>
  <c r="Y59" i="38"/>
  <c r="Z59" i="38"/>
  <c r="AA59" i="38"/>
  <c r="AB59" i="38"/>
  <c r="AC59" i="38"/>
  <c r="AD59" i="38"/>
  <c r="AE59" i="38"/>
  <c r="AF59" i="38"/>
  <c r="AG59" i="38"/>
  <c r="AH59" i="38"/>
  <c r="AI59" i="38"/>
  <c r="AJ59" i="38"/>
  <c r="AK59" i="38"/>
  <c r="AL59" i="38"/>
  <c r="AM59" i="38"/>
  <c r="AN59" i="38"/>
  <c r="AO59" i="38"/>
  <c r="AP59" i="38"/>
  <c r="AQ59" i="38"/>
  <c r="AR59" i="38"/>
  <c r="AS59" i="38"/>
  <c r="AT59" i="38"/>
  <c r="AU59" i="38"/>
  <c r="AV59" i="38"/>
  <c r="AW59" i="38"/>
  <c r="AX59" i="38"/>
  <c r="AY59" i="38"/>
  <c r="AZ59" i="38"/>
  <c r="BA60" i="38"/>
  <c r="D60" i="38"/>
  <c r="E60" i="38"/>
  <c r="F60" i="38"/>
  <c r="G60" i="38"/>
  <c r="H60" i="38"/>
  <c r="I60" i="38"/>
  <c r="J60" i="38"/>
  <c r="K60" i="38"/>
  <c r="L60" i="38"/>
  <c r="M60" i="38"/>
  <c r="N60" i="38"/>
  <c r="O60" i="38"/>
  <c r="P60" i="38"/>
  <c r="Q60" i="38"/>
  <c r="R60" i="38"/>
  <c r="S60" i="38"/>
  <c r="T60" i="38"/>
  <c r="U60" i="38"/>
  <c r="V60" i="38"/>
  <c r="W60" i="38"/>
  <c r="X60" i="38"/>
  <c r="Y60" i="38"/>
  <c r="Z60" i="38"/>
  <c r="AA60" i="38"/>
  <c r="AB60" i="38"/>
  <c r="AC60" i="38"/>
  <c r="AD60" i="38"/>
  <c r="AE60" i="38"/>
  <c r="AF60" i="38"/>
  <c r="AG60" i="38"/>
  <c r="AH60" i="38"/>
  <c r="AI60" i="38"/>
  <c r="AJ60" i="38"/>
  <c r="AK60" i="38"/>
  <c r="AL60" i="38"/>
  <c r="AM60" i="38"/>
  <c r="AN60" i="38"/>
  <c r="AO60" i="38"/>
  <c r="AP60" i="38"/>
  <c r="AQ60" i="38"/>
  <c r="AR60" i="38"/>
  <c r="AS60" i="38"/>
  <c r="AT60" i="38"/>
  <c r="AU60" i="38"/>
  <c r="AV60" i="38"/>
  <c r="AW60" i="38"/>
  <c r="AX60" i="38"/>
  <c r="AY60" i="38"/>
  <c r="AZ60" i="38"/>
  <c r="BA61" i="38"/>
  <c r="D61" i="38"/>
  <c r="E61" i="38"/>
  <c r="F61" i="38"/>
  <c r="G61" i="38"/>
  <c r="H61" i="38"/>
  <c r="I61" i="38"/>
  <c r="J61" i="38"/>
  <c r="K61" i="38"/>
  <c r="L61" i="38"/>
  <c r="M61" i="38"/>
  <c r="N61" i="38"/>
  <c r="O61" i="38"/>
  <c r="P61" i="38"/>
  <c r="Q61" i="38"/>
  <c r="R61" i="38"/>
  <c r="S61" i="38"/>
  <c r="T61" i="38"/>
  <c r="U61" i="38"/>
  <c r="V61" i="38"/>
  <c r="W61" i="38"/>
  <c r="X61" i="38"/>
  <c r="Y61" i="38"/>
  <c r="Z61" i="38"/>
  <c r="AA61" i="38"/>
  <c r="AB61" i="38"/>
  <c r="AC61" i="38"/>
  <c r="AD61" i="38"/>
  <c r="AE61" i="38"/>
  <c r="AF61" i="38"/>
  <c r="AG61" i="38"/>
  <c r="AH61" i="38"/>
  <c r="AI61" i="38"/>
  <c r="AJ61" i="38"/>
  <c r="AK61" i="38"/>
  <c r="AL61" i="38"/>
  <c r="AM61" i="38"/>
  <c r="AN61" i="38"/>
  <c r="AO61" i="38"/>
  <c r="AP61" i="38"/>
  <c r="AQ61" i="38"/>
  <c r="AR61" i="38"/>
  <c r="AS61" i="38"/>
  <c r="AT61" i="38"/>
  <c r="AU61" i="38"/>
  <c r="AV61" i="38"/>
  <c r="AW61" i="38"/>
  <c r="AX61" i="38"/>
  <c r="AY61" i="38"/>
  <c r="AZ61" i="38"/>
  <c r="BA62" i="38"/>
  <c r="D62" i="38"/>
  <c r="E62" i="38"/>
  <c r="F62" i="38"/>
  <c r="G62" i="38"/>
  <c r="H62" i="38"/>
  <c r="I62" i="38"/>
  <c r="J62" i="38"/>
  <c r="K62" i="38"/>
  <c r="L62" i="38"/>
  <c r="M62" i="38"/>
  <c r="N62" i="38"/>
  <c r="O62" i="38"/>
  <c r="P62" i="38"/>
  <c r="Q62" i="38"/>
  <c r="R62" i="38"/>
  <c r="S62" i="38"/>
  <c r="T62" i="38"/>
  <c r="U62" i="38"/>
  <c r="V62" i="38"/>
  <c r="W62" i="38"/>
  <c r="X62" i="38"/>
  <c r="Y62" i="38"/>
  <c r="Z62" i="38"/>
  <c r="AA62" i="38"/>
  <c r="AB62" i="38"/>
  <c r="AC62" i="38"/>
  <c r="AD62" i="38"/>
  <c r="AE62" i="38"/>
  <c r="AF62" i="38"/>
  <c r="AG62" i="38"/>
  <c r="AH62" i="38"/>
  <c r="AI62" i="38"/>
  <c r="AJ62" i="38"/>
  <c r="AK62" i="38"/>
  <c r="AL62" i="38"/>
  <c r="AM62" i="38"/>
  <c r="AN62" i="38"/>
  <c r="AO62" i="38"/>
  <c r="AP62" i="38"/>
  <c r="AQ62" i="38"/>
  <c r="AR62" i="38"/>
  <c r="AS62" i="38"/>
  <c r="AT62" i="38"/>
  <c r="AU62" i="38"/>
  <c r="AV62" i="38"/>
  <c r="AW62" i="38"/>
  <c r="AX62" i="38"/>
  <c r="AY62" i="38"/>
  <c r="AZ62" i="38"/>
  <c r="BA51" i="38"/>
  <c r="D51" i="38"/>
  <c r="E51" i="38"/>
  <c r="F51" i="38"/>
  <c r="G51" i="38"/>
  <c r="H51" i="38"/>
  <c r="I51" i="38"/>
  <c r="J51" i="38"/>
  <c r="K51" i="38"/>
  <c r="L51" i="38"/>
  <c r="M51" i="38"/>
  <c r="N51" i="38"/>
  <c r="O51" i="38"/>
  <c r="P51" i="38"/>
  <c r="Q51" i="38"/>
  <c r="R51" i="38"/>
  <c r="S51" i="38"/>
  <c r="T51" i="38"/>
  <c r="U51" i="38"/>
  <c r="V51" i="38"/>
  <c r="W51" i="38"/>
  <c r="X51" i="38"/>
  <c r="Y51" i="38"/>
  <c r="Z51" i="38"/>
  <c r="AA51" i="38"/>
  <c r="AB51" i="38"/>
  <c r="AC51" i="38"/>
  <c r="AD51" i="38"/>
  <c r="AE51" i="38"/>
  <c r="AF51" i="38"/>
  <c r="AG51" i="38"/>
  <c r="AH51" i="38"/>
  <c r="AI51" i="38"/>
  <c r="AJ51" i="38"/>
  <c r="AK51" i="38"/>
  <c r="AL51" i="38"/>
  <c r="AM51" i="38"/>
  <c r="AN51" i="38"/>
  <c r="AO51" i="38"/>
  <c r="AP51" i="38"/>
  <c r="AQ51" i="38"/>
  <c r="AR51" i="38"/>
  <c r="AS51" i="38"/>
  <c r="AT51" i="38"/>
  <c r="AU51" i="38"/>
  <c r="AV51" i="38"/>
  <c r="AW51" i="38"/>
  <c r="AX51" i="38"/>
  <c r="AY51" i="38"/>
  <c r="AZ51" i="38"/>
  <c r="E28" i="38"/>
  <c r="F28" i="38"/>
  <c r="G28" i="38"/>
  <c r="H28" i="38"/>
  <c r="I28" i="38"/>
  <c r="J28" i="38"/>
  <c r="K28" i="38"/>
  <c r="L28" i="38"/>
  <c r="M28" i="38"/>
  <c r="N28" i="38"/>
  <c r="O28" i="38"/>
  <c r="P28" i="38"/>
  <c r="Q28" i="38"/>
  <c r="R28" i="38"/>
  <c r="S28" i="38"/>
  <c r="T28" i="38"/>
  <c r="U28" i="38"/>
  <c r="V28" i="38"/>
  <c r="W28" i="38"/>
  <c r="X28" i="38"/>
  <c r="Y28" i="38"/>
  <c r="Z28" i="38"/>
  <c r="AA28" i="38"/>
  <c r="AB28" i="38"/>
  <c r="AC28" i="38"/>
  <c r="AD28" i="38"/>
  <c r="AE28" i="38"/>
  <c r="AF28" i="38"/>
  <c r="AG28" i="38"/>
  <c r="AH28" i="38"/>
  <c r="AI28" i="38"/>
  <c r="AJ28" i="38"/>
  <c r="AK28" i="38"/>
  <c r="AL28" i="38"/>
  <c r="AM28" i="38"/>
  <c r="AN28" i="38"/>
  <c r="AO28" i="38"/>
  <c r="AP28" i="38"/>
  <c r="AQ28" i="38"/>
  <c r="AR28" i="38"/>
  <c r="AS28" i="38"/>
  <c r="AT28" i="38"/>
  <c r="AU28" i="38"/>
  <c r="AV28" i="38"/>
  <c r="AW28" i="38"/>
  <c r="AX28" i="38"/>
  <c r="AY28" i="38"/>
  <c r="AZ28" i="38"/>
  <c r="BA28" i="38"/>
  <c r="D28" i="38"/>
  <c r="D66" i="38"/>
  <c r="D67" i="38"/>
  <c r="D68" i="38"/>
  <c r="D69" i="38"/>
  <c r="D70" i="38"/>
  <c r="D71" i="38"/>
  <c r="D72" i="38"/>
  <c r="D73" i="38"/>
  <c r="D74" i="38"/>
  <c r="D75" i="38"/>
  <c r="D76" i="38"/>
  <c r="D65" i="38"/>
  <c r="C27" i="38"/>
  <c r="C19" i="38"/>
  <c r="C51" i="38"/>
  <c r="C62" i="38"/>
  <c r="C61" i="38"/>
  <c r="C60" i="38"/>
  <c r="C59" i="38"/>
  <c r="C58" i="38"/>
  <c r="C57" i="38"/>
  <c r="C56" i="38"/>
  <c r="C55" i="38"/>
  <c r="C54" i="38"/>
  <c r="C53" i="38"/>
  <c r="C52" i="38"/>
  <c r="E1" i="43"/>
  <c r="F1" i="43"/>
  <c r="G1" i="43"/>
  <c r="H1" i="43"/>
  <c r="I1" i="43"/>
  <c r="J1" i="43"/>
  <c r="K1" i="43"/>
  <c r="L1" i="43"/>
  <c r="M1" i="43"/>
  <c r="N1" i="43"/>
  <c r="O1" i="43"/>
  <c r="P1" i="43"/>
  <c r="Q1" i="43"/>
  <c r="R1" i="43"/>
  <c r="S1" i="43"/>
  <c r="T1" i="43"/>
  <c r="U1" i="43"/>
  <c r="V1" i="43"/>
  <c r="W1" i="43"/>
  <c r="X1" i="43"/>
  <c r="Y1" i="43"/>
  <c r="Z1" i="43"/>
  <c r="AA1" i="43"/>
  <c r="AB1" i="43"/>
  <c r="AC1" i="43"/>
  <c r="AD1" i="43"/>
  <c r="AE1" i="43"/>
  <c r="AF1" i="43"/>
  <c r="AG1" i="43"/>
  <c r="AH1" i="43"/>
  <c r="AI1" i="43"/>
  <c r="AJ1" i="43"/>
  <c r="AK1" i="43"/>
  <c r="AL1" i="43"/>
  <c r="AM1" i="43"/>
  <c r="AN1" i="43"/>
  <c r="AO1" i="43"/>
  <c r="AP1" i="43"/>
  <c r="AQ1" i="43"/>
  <c r="AR1" i="43"/>
  <c r="AS1" i="43"/>
  <c r="AT1" i="43"/>
  <c r="AU1" i="43"/>
  <c r="AV1" i="43"/>
  <c r="AW1" i="43"/>
  <c r="AX1" i="43"/>
  <c r="AY1" i="43"/>
  <c r="AZ1" i="43"/>
  <c r="BA1" i="43"/>
  <c r="D10" i="43"/>
  <c r="E10" i="43"/>
  <c r="F10" i="43"/>
  <c r="G10" i="43"/>
  <c r="H10" i="43"/>
  <c r="I10" i="43"/>
  <c r="J10" i="43"/>
  <c r="K10" i="43"/>
  <c r="L10" i="43"/>
  <c r="M10" i="43"/>
  <c r="N10" i="43"/>
  <c r="O10" i="43"/>
  <c r="P10" i="43"/>
  <c r="Q10" i="43"/>
  <c r="R10" i="43"/>
  <c r="S10" i="43"/>
  <c r="T10" i="43"/>
  <c r="U10" i="43"/>
  <c r="V10" i="43"/>
  <c r="W10" i="43"/>
  <c r="X10" i="43"/>
  <c r="Y10" i="43"/>
  <c r="Z10" i="43"/>
  <c r="AA10" i="43"/>
  <c r="AB10" i="43"/>
  <c r="AC10" i="43"/>
  <c r="AD10" i="43"/>
  <c r="AE10" i="43"/>
  <c r="AF10" i="43"/>
  <c r="AG10" i="43"/>
  <c r="AH10" i="43"/>
  <c r="AI10" i="43"/>
  <c r="AJ10" i="43"/>
  <c r="AK10" i="43"/>
  <c r="AL10" i="43"/>
  <c r="AM10" i="43"/>
  <c r="AN10" i="43"/>
  <c r="AO10" i="43"/>
  <c r="AP10" i="43"/>
  <c r="AQ10" i="43"/>
  <c r="AR10" i="43"/>
  <c r="AS10" i="43"/>
  <c r="AT10" i="43"/>
  <c r="AU10" i="43"/>
  <c r="AV10" i="43"/>
  <c r="AW10" i="43"/>
  <c r="AX10" i="43"/>
  <c r="AY10" i="43"/>
  <c r="AZ10" i="43"/>
  <c r="BA10" i="43"/>
  <c r="C11" i="43"/>
  <c r="C6" i="43"/>
  <c r="E1" i="37"/>
  <c r="F1" i="37"/>
  <c r="G1" i="37"/>
  <c r="H1" i="37"/>
  <c r="I1" i="37"/>
  <c r="J1" i="37"/>
  <c r="K1" i="37"/>
  <c r="L1" i="37"/>
  <c r="M1" i="37"/>
  <c r="N1" i="37"/>
  <c r="O1" i="37"/>
  <c r="P1" i="37"/>
  <c r="Q1" i="37"/>
  <c r="R1" i="37"/>
  <c r="S1" i="37"/>
  <c r="T1" i="37"/>
  <c r="U1" i="37"/>
  <c r="V1" i="37"/>
  <c r="W1" i="37"/>
  <c r="X1" i="37"/>
  <c r="Y1" i="37"/>
  <c r="Z1" i="37"/>
  <c r="AA1" i="37"/>
  <c r="AB1" i="37"/>
  <c r="AC1" i="37"/>
  <c r="AD1" i="37"/>
  <c r="AE1" i="37"/>
  <c r="AF1" i="37"/>
  <c r="AG1" i="37"/>
  <c r="AH1" i="37"/>
  <c r="AI1" i="37"/>
  <c r="AJ1" i="37"/>
  <c r="AK1" i="37"/>
  <c r="AL1" i="37"/>
  <c r="AM1" i="37"/>
  <c r="AN1" i="37"/>
  <c r="AO1" i="37"/>
  <c r="AP1" i="37"/>
  <c r="AQ1" i="37"/>
  <c r="AR1" i="37"/>
  <c r="AS1" i="37"/>
  <c r="AT1" i="37"/>
  <c r="AU1" i="37"/>
  <c r="AV1" i="37"/>
  <c r="AW1" i="37"/>
  <c r="AX1" i="37"/>
  <c r="AY1" i="37"/>
  <c r="AZ1" i="37"/>
  <c r="BA1" i="37"/>
  <c r="A5" i="37"/>
  <c r="A6" i="37"/>
  <c r="A7" i="37"/>
  <c r="E1" i="29"/>
  <c r="F1" i="29"/>
  <c r="G1" i="29"/>
  <c r="H1" i="29"/>
  <c r="I1" i="29"/>
  <c r="J1" i="29"/>
  <c r="K1" i="29"/>
  <c r="L1" i="29"/>
  <c r="M1" i="29"/>
  <c r="N1" i="29"/>
  <c r="O1" i="29"/>
  <c r="P1" i="29"/>
  <c r="Q1" i="29"/>
  <c r="R1" i="29"/>
  <c r="S1" i="29"/>
  <c r="T1" i="29"/>
  <c r="U1" i="29"/>
  <c r="V1" i="29"/>
  <c r="W1" i="29"/>
  <c r="X1" i="29"/>
  <c r="Y1" i="29"/>
  <c r="Z1" i="29"/>
  <c r="AA1" i="29"/>
  <c r="AB1" i="29"/>
  <c r="AC1" i="29"/>
  <c r="AD1" i="29"/>
  <c r="AE1" i="29"/>
  <c r="AF1" i="29"/>
  <c r="AG1" i="29"/>
  <c r="AH1" i="29"/>
  <c r="AI1" i="29"/>
  <c r="AJ1" i="29"/>
  <c r="AK1" i="29"/>
  <c r="AL1" i="29"/>
  <c r="AM1" i="29"/>
  <c r="AN1" i="29"/>
  <c r="AO1" i="29"/>
  <c r="AP1" i="29"/>
  <c r="AQ1" i="29"/>
  <c r="AR1" i="29"/>
  <c r="AS1" i="29"/>
  <c r="AT1" i="29"/>
  <c r="AU1" i="29"/>
  <c r="AV1" i="29"/>
  <c r="AW1" i="29"/>
  <c r="AX1" i="29"/>
  <c r="AY1" i="29"/>
  <c r="AZ1" i="29"/>
  <c r="BA1" i="29"/>
  <c r="C30" i="29"/>
  <c r="E22" i="19"/>
  <c r="F22" i="19"/>
  <c r="G22" i="19"/>
  <c r="H22" i="19"/>
  <c r="I22" i="19"/>
  <c r="J22" i="19"/>
  <c r="K22" i="19"/>
  <c r="L22" i="19"/>
  <c r="M22" i="19"/>
  <c r="N22" i="19"/>
  <c r="O22" i="19"/>
  <c r="P22" i="19"/>
  <c r="Q22" i="19"/>
  <c r="R22" i="19"/>
  <c r="S22" i="19"/>
  <c r="T22" i="19"/>
  <c r="U22" i="19"/>
  <c r="V22" i="19"/>
  <c r="W22" i="19"/>
  <c r="X22" i="19"/>
  <c r="Y22" i="19"/>
  <c r="Z22" i="19"/>
  <c r="AA22" i="19"/>
  <c r="AB22" i="19"/>
  <c r="AC22" i="19"/>
  <c r="AD22" i="19"/>
  <c r="AE22" i="19"/>
  <c r="AF22" i="19"/>
  <c r="AG22" i="19"/>
  <c r="AH22" i="19"/>
  <c r="AI22" i="19"/>
  <c r="AJ22" i="19"/>
  <c r="AK22" i="19"/>
  <c r="AL22" i="19"/>
  <c r="AM22" i="19"/>
  <c r="AN22" i="19"/>
  <c r="AO22" i="19"/>
  <c r="AP22" i="19"/>
  <c r="AQ22" i="19"/>
  <c r="AR22" i="19"/>
  <c r="AS22" i="19"/>
  <c r="AT22" i="19"/>
  <c r="AU22" i="19"/>
  <c r="AV22" i="19"/>
  <c r="AW22" i="19"/>
  <c r="AX22" i="19"/>
  <c r="AY22" i="19"/>
  <c r="AZ22" i="19"/>
  <c r="BA22" i="19"/>
  <c r="E1" i="19"/>
  <c r="F1" i="19"/>
  <c r="G1" i="19"/>
  <c r="H1" i="19"/>
  <c r="I1" i="19"/>
  <c r="J1" i="19"/>
  <c r="K1" i="19"/>
  <c r="L1" i="19"/>
  <c r="M1" i="19"/>
  <c r="N1" i="19"/>
  <c r="O1" i="19"/>
  <c r="P1" i="19"/>
  <c r="Q1" i="19"/>
  <c r="R1" i="19"/>
  <c r="S1" i="19"/>
  <c r="T1" i="19"/>
  <c r="U1" i="19"/>
  <c r="V1" i="19"/>
  <c r="W1" i="19"/>
  <c r="X1" i="19"/>
  <c r="Y1" i="19"/>
  <c r="Z1" i="19"/>
  <c r="AA1" i="19"/>
  <c r="AB1" i="19"/>
  <c r="AC1" i="19"/>
  <c r="AD1" i="19"/>
  <c r="AE1" i="19"/>
  <c r="AF1" i="19"/>
  <c r="AG1" i="19"/>
  <c r="AH1" i="19"/>
  <c r="AI1" i="19"/>
  <c r="AJ1" i="19"/>
  <c r="AK1" i="19"/>
  <c r="AL1" i="19"/>
  <c r="AM1" i="19"/>
  <c r="AN1" i="19"/>
  <c r="AO1" i="19"/>
  <c r="AP1" i="19"/>
  <c r="AQ1" i="19"/>
  <c r="AR1" i="19"/>
  <c r="AS1" i="19"/>
  <c r="AT1" i="19"/>
  <c r="AU1" i="19"/>
  <c r="AV1" i="19"/>
  <c r="AW1" i="19"/>
  <c r="AX1" i="19"/>
  <c r="AY1" i="19"/>
  <c r="AZ1" i="19"/>
  <c r="BA1" i="19"/>
  <c r="B3" i="19"/>
  <c r="F13" i="19"/>
  <c r="C27" i="19"/>
  <c r="D27" i="19"/>
  <c r="E27" i="19"/>
  <c r="F27" i="19"/>
  <c r="G27" i="19"/>
  <c r="H27" i="19"/>
  <c r="I27" i="19"/>
  <c r="J27" i="19"/>
  <c r="K27" i="19"/>
  <c r="L27" i="19"/>
  <c r="M27" i="19"/>
  <c r="N27" i="19"/>
  <c r="O27" i="19"/>
  <c r="P27" i="19"/>
  <c r="Q27" i="19"/>
  <c r="R27" i="19"/>
  <c r="S27" i="19"/>
  <c r="T27" i="19"/>
  <c r="U27" i="19"/>
  <c r="V27" i="19"/>
  <c r="W27" i="19"/>
  <c r="X27" i="19"/>
  <c r="Y27" i="19"/>
  <c r="Z27" i="19"/>
  <c r="AA27" i="19"/>
  <c r="AB27" i="19"/>
  <c r="AC27" i="19"/>
  <c r="AD27" i="19"/>
  <c r="AE27" i="19"/>
  <c r="AF27" i="19"/>
  <c r="AG27" i="19"/>
  <c r="AH27" i="19"/>
  <c r="AI27" i="19"/>
  <c r="AJ27" i="19"/>
  <c r="AK27" i="19"/>
  <c r="AL27" i="19"/>
  <c r="AM27" i="19"/>
  <c r="AN27" i="19"/>
  <c r="AO27" i="19"/>
  <c r="AP27" i="19"/>
  <c r="AQ27" i="19"/>
  <c r="AR27" i="19"/>
  <c r="AS27" i="19"/>
  <c r="AT27" i="19"/>
  <c r="AU27" i="19"/>
  <c r="AV27" i="19"/>
  <c r="AW27" i="19"/>
  <c r="AX27" i="19"/>
  <c r="AY27" i="19"/>
  <c r="AZ27" i="19"/>
  <c r="BA27" i="19"/>
  <c r="C26" i="19"/>
  <c r="D26" i="19"/>
  <c r="E26" i="19"/>
  <c r="F26" i="19"/>
  <c r="G26" i="19"/>
  <c r="H26" i="19"/>
  <c r="I26" i="19"/>
  <c r="J26" i="19"/>
  <c r="K26" i="19"/>
  <c r="L26" i="19"/>
  <c r="M26" i="19"/>
  <c r="N26" i="19"/>
  <c r="O26" i="19"/>
  <c r="P26" i="19"/>
  <c r="Q26" i="19"/>
  <c r="R26" i="19"/>
  <c r="S26" i="19"/>
  <c r="T26" i="19"/>
  <c r="U26" i="19"/>
  <c r="V26" i="19"/>
  <c r="W26" i="19"/>
  <c r="X26" i="19"/>
  <c r="Y26" i="19"/>
  <c r="Z26" i="19"/>
  <c r="AA26" i="19"/>
  <c r="AB26" i="19"/>
  <c r="AC26" i="19"/>
  <c r="AD26" i="19"/>
  <c r="AE26" i="19"/>
  <c r="AF26" i="19"/>
  <c r="AG26" i="19"/>
  <c r="AH26" i="19"/>
  <c r="AI26" i="19"/>
  <c r="AJ26" i="19"/>
  <c r="AK26" i="19"/>
  <c r="AL26" i="19"/>
  <c r="AM26" i="19"/>
  <c r="AN26" i="19"/>
  <c r="AO26" i="19"/>
  <c r="AP26" i="19"/>
  <c r="AQ26" i="19"/>
  <c r="AR26" i="19"/>
  <c r="AS26" i="19"/>
  <c r="AT26" i="19"/>
  <c r="AU26" i="19"/>
  <c r="AV26" i="19"/>
  <c r="AW26" i="19"/>
  <c r="AX26" i="19"/>
  <c r="AY26" i="19"/>
  <c r="AZ26" i="19"/>
  <c r="BA39" i="19"/>
  <c r="BA38" i="19"/>
  <c r="BA40" i="19"/>
  <c r="AZ39" i="19"/>
  <c r="AZ38" i="19"/>
  <c r="AZ40" i="19"/>
  <c r="AY39" i="19"/>
  <c r="AY38" i="19"/>
  <c r="AY40" i="19"/>
  <c r="AX39" i="19"/>
  <c r="AX38" i="19"/>
  <c r="AX40" i="19"/>
  <c r="AW39" i="19"/>
  <c r="AW38" i="19"/>
  <c r="AW40" i="19"/>
  <c r="AV39" i="19"/>
  <c r="AV38" i="19"/>
  <c r="AV40" i="19"/>
  <c r="AU39" i="19"/>
  <c r="AU38" i="19"/>
  <c r="AU40" i="19"/>
  <c r="AT39" i="19"/>
  <c r="AT38" i="19"/>
  <c r="AT40" i="19"/>
  <c r="AS39" i="19"/>
  <c r="AS38" i="19"/>
  <c r="AS40" i="19"/>
  <c r="AR39" i="19"/>
  <c r="AR38" i="19"/>
  <c r="AR40" i="19"/>
  <c r="AQ39" i="19"/>
  <c r="AQ38" i="19"/>
  <c r="AQ40" i="19"/>
  <c r="AP39" i="19"/>
  <c r="AP38" i="19"/>
  <c r="AP40" i="19"/>
  <c r="AO39" i="19"/>
  <c r="AO38" i="19"/>
  <c r="AO40" i="19"/>
  <c r="AN39" i="19"/>
  <c r="AN38" i="19"/>
  <c r="AN40" i="19"/>
  <c r="AM39" i="19"/>
  <c r="AM38" i="19"/>
  <c r="AM40" i="19"/>
  <c r="AL39" i="19"/>
  <c r="AL38" i="19"/>
  <c r="AL40" i="19"/>
  <c r="AK39" i="19"/>
  <c r="AK38" i="19"/>
  <c r="AK40" i="19"/>
  <c r="AJ39" i="19"/>
  <c r="AJ38" i="19"/>
  <c r="AJ40" i="19"/>
  <c r="AI39" i="19"/>
  <c r="AI38" i="19"/>
  <c r="AI40" i="19"/>
  <c r="AH39" i="19"/>
  <c r="AH38" i="19"/>
  <c r="AH40" i="19"/>
  <c r="AG39" i="19"/>
  <c r="AG38" i="19"/>
  <c r="AG40" i="19"/>
  <c r="AF39" i="19"/>
  <c r="AF38" i="19"/>
  <c r="AF40" i="19"/>
  <c r="AE39" i="19"/>
  <c r="AE38" i="19"/>
  <c r="AE40" i="19"/>
  <c r="AD39" i="19"/>
  <c r="AD38" i="19"/>
  <c r="AD40" i="19"/>
  <c r="AC39" i="19"/>
  <c r="AC38" i="19"/>
  <c r="AC40" i="19"/>
  <c r="AB39" i="19"/>
  <c r="AB38" i="19"/>
  <c r="AB40" i="19"/>
  <c r="AA39" i="19"/>
  <c r="AA38" i="19"/>
  <c r="AA40" i="19"/>
  <c r="Z39" i="19"/>
  <c r="Z38" i="19"/>
  <c r="Z40" i="19"/>
  <c r="Y39" i="19"/>
  <c r="Y38" i="19"/>
  <c r="Y40" i="19"/>
  <c r="X39" i="19"/>
  <c r="X38" i="19"/>
  <c r="X40" i="19"/>
  <c r="W39" i="19"/>
  <c r="W38" i="19"/>
  <c r="W40" i="19"/>
  <c r="V39" i="19"/>
  <c r="V38" i="19"/>
  <c r="V40" i="19"/>
  <c r="U39" i="19"/>
  <c r="U38" i="19"/>
  <c r="U40" i="19"/>
  <c r="T39" i="19"/>
  <c r="T38" i="19"/>
  <c r="T40" i="19"/>
  <c r="S39" i="19"/>
  <c r="S38" i="19"/>
  <c r="S40" i="19"/>
  <c r="R39" i="19"/>
  <c r="R38" i="19"/>
  <c r="R40" i="19"/>
  <c r="Q39" i="19"/>
  <c r="Q38" i="19"/>
  <c r="Q40" i="19"/>
  <c r="P39" i="19"/>
  <c r="P38" i="19"/>
  <c r="P40" i="19"/>
  <c r="O39" i="19"/>
  <c r="O38" i="19"/>
  <c r="O40" i="19"/>
  <c r="N39" i="19"/>
  <c r="N38" i="19"/>
  <c r="N40" i="19"/>
  <c r="M39" i="19"/>
  <c r="M38" i="19"/>
  <c r="M40" i="19"/>
  <c r="L39" i="19"/>
  <c r="L38" i="19"/>
  <c r="L40" i="19"/>
  <c r="K39" i="19"/>
  <c r="K38" i="19"/>
  <c r="K40" i="19"/>
  <c r="J39" i="19"/>
  <c r="J38" i="19"/>
  <c r="J40" i="19"/>
  <c r="I39" i="19"/>
  <c r="I38" i="19"/>
  <c r="I40" i="19"/>
  <c r="H39" i="19"/>
  <c r="H38" i="19"/>
  <c r="H40" i="19"/>
  <c r="G39" i="19"/>
  <c r="G38" i="19"/>
  <c r="G40" i="19"/>
  <c r="F39" i="19"/>
  <c r="F38" i="19"/>
  <c r="F40" i="19"/>
  <c r="E39" i="19"/>
  <c r="E38" i="19"/>
  <c r="E40" i="19"/>
  <c r="D39" i="19"/>
  <c r="D38" i="19"/>
  <c r="D40" i="19"/>
  <c r="C39" i="19"/>
  <c r="C38" i="19"/>
  <c r="C40"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A26" i="19"/>
  <c r="BA42" i="19"/>
  <c r="BA30" i="19"/>
  <c r="BA34" i="19"/>
  <c r="BA25" i="19"/>
  <c r="D42" i="19"/>
  <c r="D30" i="19"/>
  <c r="E42" i="19"/>
  <c r="E30" i="19"/>
  <c r="F42" i="19"/>
  <c r="F30" i="19"/>
  <c r="G42" i="19"/>
  <c r="G30" i="19"/>
  <c r="H42" i="19"/>
  <c r="H30" i="19"/>
  <c r="I42" i="19"/>
  <c r="I30" i="19"/>
  <c r="J42" i="19"/>
  <c r="J30" i="19"/>
  <c r="K42" i="19"/>
  <c r="K30" i="19"/>
  <c r="L42" i="19"/>
  <c r="L30" i="19"/>
  <c r="M42" i="19"/>
  <c r="M30" i="19"/>
  <c r="N42" i="19"/>
  <c r="N30" i="19"/>
  <c r="O42" i="19"/>
  <c r="O30" i="19"/>
  <c r="P42" i="19"/>
  <c r="P30" i="19"/>
  <c r="Q42" i="19"/>
  <c r="Q30" i="19"/>
  <c r="R42" i="19"/>
  <c r="R30" i="19"/>
  <c r="S42" i="19"/>
  <c r="S30" i="19"/>
  <c r="T42" i="19"/>
  <c r="T30" i="19"/>
  <c r="U42" i="19"/>
  <c r="U30" i="19"/>
  <c r="V42" i="19"/>
  <c r="V30" i="19"/>
  <c r="W42" i="19"/>
  <c r="W30" i="19"/>
  <c r="X42" i="19"/>
  <c r="X30" i="19"/>
  <c r="Y42" i="19"/>
  <c r="Y30" i="19"/>
  <c r="Z42" i="19"/>
  <c r="Z30" i="19"/>
  <c r="AA42" i="19"/>
  <c r="AA30" i="19"/>
  <c r="AB42" i="19"/>
  <c r="AB30" i="19"/>
  <c r="AC42" i="19"/>
  <c r="AC30" i="19"/>
  <c r="AD42" i="19"/>
  <c r="AD30" i="19"/>
  <c r="AE42" i="19"/>
  <c r="AE30" i="19"/>
  <c r="AF42" i="19"/>
  <c r="AF30" i="19"/>
  <c r="AG42" i="19"/>
  <c r="AG30" i="19"/>
  <c r="AH42" i="19"/>
  <c r="AH30" i="19"/>
  <c r="AI42" i="19"/>
  <c r="AI30" i="19"/>
  <c r="AJ42" i="19"/>
  <c r="AJ30" i="19"/>
  <c r="AK42" i="19"/>
  <c r="AK30" i="19"/>
  <c r="AL42" i="19"/>
  <c r="AL30" i="19"/>
  <c r="AM42" i="19"/>
  <c r="AM30" i="19"/>
  <c r="AN42" i="19"/>
  <c r="AN30" i="19"/>
  <c r="AO42" i="19"/>
  <c r="AO30" i="19"/>
  <c r="AP42" i="19"/>
  <c r="AP30" i="19"/>
  <c r="AQ42" i="19"/>
  <c r="AQ30" i="19"/>
  <c r="AR42" i="19"/>
  <c r="AR30" i="19"/>
  <c r="AS42" i="19"/>
  <c r="AS30" i="19"/>
  <c r="AT42" i="19"/>
  <c r="AT30" i="19"/>
  <c r="AU42" i="19"/>
  <c r="AU30" i="19"/>
  <c r="AV42" i="19"/>
  <c r="AV30" i="19"/>
  <c r="AW42" i="19"/>
  <c r="AW30" i="19"/>
  <c r="AX42" i="19"/>
  <c r="AX30" i="19"/>
  <c r="AY42" i="19"/>
  <c r="AY30" i="19"/>
  <c r="AZ42" i="19"/>
  <c r="AZ30" i="19"/>
  <c r="C42" i="19"/>
  <c r="C30" i="19"/>
  <c r="AZ34" i="19"/>
  <c r="AZ25" i="19"/>
  <c r="AY34" i="19"/>
  <c r="AY25" i="19"/>
  <c r="AX34" i="19"/>
  <c r="AX25" i="19"/>
  <c r="AW34" i="19"/>
  <c r="AW25" i="19"/>
  <c r="AV34" i="19"/>
  <c r="AV25" i="19"/>
  <c r="AU34" i="19"/>
  <c r="AU25" i="19"/>
  <c r="AT34" i="19"/>
  <c r="AT25" i="19"/>
  <c r="AS34" i="19"/>
  <c r="AS25" i="19"/>
  <c r="AR34" i="19"/>
  <c r="AR25" i="19"/>
  <c r="AQ34" i="19"/>
  <c r="AQ25" i="19"/>
  <c r="AP34" i="19"/>
  <c r="AP25" i="19"/>
  <c r="AO34" i="19"/>
  <c r="AO25" i="19"/>
  <c r="AN34" i="19"/>
  <c r="AN25" i="19"/>
  <c r="AM34" i="19"/>
  <c r="AM25" i="19"/>
  <c r="AL34" i="19"/>
  <c r="AL25" i="19"/>
  <c r="AK34" i="19"/>
  <c r="AK25" i="19"/>
  <c r="AJ34" i="19"/>
  <c r="AJ25" i="19"/>
  <c r="AI34" i="19"/>
  <c r="AI25" i="19"/>
  <c r="AH34" i="19"/>
  <c r="AH25" i="19"/>
  <c r="AG34" i="19"/>
  <c r="AG25" i="19"/>
  <c r="AF34" i="19"/>
  <c r="AF25" i="19"/>
  <c r="AE34" i="19"/>
  <c r="AE25" i="19"/>
  <c r="AD34" i="19"/>
  <c r="AD25" i="19"/>
  <c r="AC34" i="19"/>
  <c r="AC25" i="19"/>
  <c r="AB34" i="19"/>
  <c r="AB25" i="19"/>
  <c r="AA34" i="19"/>
  <c r="AA25" i="19"/>
  <c r="Z34" i="19"/>
  <c r="Z25" i="19"/>
  <c r="Y34" i="19"/>
  <c r="Y25" i="19"/>
  <c r="X34" i="19"/>
  <c r="X25" i="19"/>
  <c r="W34" i="19"/>
  <c r="W25" i="19"/>
  <c r="V34" i="19"/>
  <c r="V25" i="19"/>
  <c r="U34" i="19"/>
  <c r="U25" i="19"/>
  <c r="T34" i="19"/>
  <c r="T25" i="19"/>
  <c r="S34" i="19"/>
  <c r="S25" i="19"/>
  <c r="R34" i="19"/>
  <c r="R25" i="19"/>
  <c r="Q34" i="19"/>
  <c r="Q25" i="19"/>
  <c r="P34" i="19"/>
  <c r="P25" i="19"/>
  <c r="O34" i="19"/>
  <c r="O25" i="19"/>
  <c r="N34" i="19"/>
  <c r="N25" i="19"/>
  <c r="M34" i="19"/>
  <c r="M25" i="19"/>
  <c r="L34" i="19"/>
  <c r="L25" i="19"/>
  <c r="K34" i="19"/>
  <c r="K25" i="19"/>
  <c r="J34" i="19"/>
  <c r="J25" i="19"/>
  <c r="I34" i="19"/>
  <c r="I25" i="19"/>
  <c r="H34" i="19"/>
  <c r="H25" i="19"/>
  <c r="G34" i="19"/>
  <c r="G25" i="19"/>
  <c r="F34" i="19"/>
  <c r="F25" i="19"/>
  <c r="E34" i="19"/>
  <c r="E25" i="19"/>
  <c r="D34" i="19"/>
  <c r="D25" i="19"/>
  <c r="C34" i="19"/>
  <c r="C25" i="19"/>
  <c r="E1" i="36"/>
  <c r="F1" i="36"/>
  <c r="G1" i="36"/>
  <c r="H1" i="36"/>
  <c r="I1" i="36"/>
  <c r="J1" i="36"/>
  <c r="K1" i="36"/>
  <c r="L1" i="36"/>
  <c r="M1" i="36"/>
  <c r="N1" i="36"/>
  <c r="O1" i="36"/>
  <c r="P1" i="36"/>
  <c r="Q1" i="36"/>
  <c r="R1" i="36"/>
  <c r="S1" i="36"/>
  <c r="T1" i="36"/>
  <c r="U1" i="36"/>
  <c r="V1" i="36"/>
  <c r="W1" i="36"/>
  <c r="X1" i="36"/>
  <c r="Y1" i="36"/>
  <c r="Z1" i="36"/>
  <c r="AA1" i="36"/>
  <c r="AB1" i="36"/>
  <c r="AC1" i="36"/>
  <c r="AD1" i="36"/>
  <c r="AE1" i="36"/>
  <c r="AF1" i="36"/>
  <c r="AG1" i="36"/>
  <c r="AH1" i="36"/>
  <c r="AI1" i="36"/>
  <c r="AJ1" i="36"/>
  <c r="AK1" i="36"/>
  <c r="AL1" i="36"/>
  <c r="AM1" i="36"/>
  <c r="AN1" i="36"/>
  <c r="AO1" i="36"/>
  <c r="AP1" i="36"/>
  <c r="AQ1" i="36"/>
  <c r="AR1" i="36"/>
  <c r="AS1" i="36"/>
  <c r="AT1" i="36"/>
  <c r="AU1" i="36"/>
  <c r="AV1" i="36"/>
  <c r="AW1" i="36"/>
  <c r="AX1" i="36"/>
  <c r="AY1" i="36"/>
  <c r="AZ1" i="36"/>
  <c r="BA1" i="36"/>
  <c r="A6" i="36"/>
  <c r="A7" i="36"/>
  <c r="A8" i="36"/>
  <c r="A9" i="36"/>
  <c r="A10" i="36"/>
  <c r="A13" i="36"/>
  <c r="E1" i="22"/>
  <c r="F1" i="22"/>
  <c r="G1" i="22"/>
  <c r="H1" i="22"/>
  <c r="I1" i="22"/>
  <c r="J1" i="22"/>
  <c r="K1" i="22"/>
  <c r="L1" i="22"/>
  <c r="M1" i="22"/>
  <c r="N1" i="22"/>
  <c r="O1" i="22"/>
  <c r="P1" i="22"/>
  <c r="Q1" i="22"/>
  <c r="R1" i="22"/>
  <c r="S1" i="22"/>
  <c r="T1" i="22"/>
  <c r="U1" i="22"/>
  <c r="V1" i="22"/>
  <c r="W1" i="22"/>
  <c r="X1" i="22"/>
  <c r="Y1" i="22"/>
  <c r="Z1" i="22"/>
  <c r="AA1" i="22"/>
  <c r="AB1" i="22"/>
  <c r="AC1" i="22"/>
  <c r="AD1" i="22"/>
  <c r="AE1" i="22"/>
  <c r="AF1" i="22"/>
  <c r="AG1" i="22"/>
  <c r="AH1" i="22"/>
  <c r="AI1" i="22"/>
  <c r="AJ1" i="22"/>
  <c r="AK1" i="22"/>
  <c r="AL1" i="22"/>
  <c r="AM1" i="22"/>
  <c r="AN1" i="22"/>
  <c r="AO1" i="22"/>
  <c r="AP1" i="22"/>
  <c r="AQ1" i="22"/>
  <c r="AR1" i="22"/>
  <c r="AS1" i="22"/>
  <c r="AT1" i="22"/>
  <c r="AU1" i="22"/>
  <c r="AV1" i="22"/>
  <c r="AW1" i="22"/>
  <c r="AX1" i="22"/>
  <c r="AY1" i="22"/>
  <c r="AZ1" i="22"/>
  <c r="BA1" i="22"/>
  <c r="D41" i="22"/>
  <c r="D39" i="22"/>
  <c r="D42" i="22"/>
  <c r="D40" i="22"/>
  <c r="BA39" i="22"/>
  <c r="AZ39" i="22"/>
  <c r="AY39" i="22"/>
  <c r="AX39" i="22"/>
  <c r="AW39" i="22"/>
  <c r="AV39" i="22"/>
  <c r="AU39" i="22"/>
  <c r="AT39" i="22"/>
  <c r="AS39" i="22"/>
  <c r="AR39" i="22"/>
  <c r="AQ39" i="22"/>
  <c r="AP39" i="22"/>
  <c r="AO39" i="22"/>
  <c r="AN39" i="22"/>
  <c r="AM39" i="22"/>
  <c r="AL39" i="22"/>
  <c r="AK39" i="22"/>
  <c r="AJ39" i="22"/>
  <c r="AI39" i="22"/>
  <c r="AH39" i="22"/>
  <c r="AG39" i="22"/>
  <c r="AF39" i="22"/>
  <c r="AE39" i="22"/>
  <c r="AD39" i="22"/>
  <c r="AC39" i="22"/>
  <c r="AB39" i="22"/>
  <c r="AA39" i="22"/>
  <c r="Z39" i="22"/>
  <c r="Y39" i="22"/>
  <c r="X39" i="22"/>
  <c r="W39" i="22"/>
  <c r="V39" i="22"/>
  <c r="U39" i="22"/>
  <c r="T39" i="22"/>
  <c r="S39" i="22"/>
  <c r="R39" i="22"/>
  <c r="Q39" i="22"/>
  <c r="P39" i="22"/>
  <c r="O39" i="22"/>
  <c r="N39" i="22"/>
  <c r="M39" i="22"/>
  <c r="L39" i="22"/>
  <c r="K39" i="22"/>
  <c r="J39" i="22"/>
  <c r="I39" i="22"/>
  <c r="H39" i="22"/>
  <c r="G39" i="22"/>
  <c r="F39" i="22"/>
  <c r="E39" i="22"/>
  <c r="D35" i="22"/>
  <c r="D34" i="22"/>
  <c r="D33" i="22"/>
  <c r="D31" i="22"/>
  <c r="D30" i="22"/>
  <c r="G13" i="22"/>
  <c r="G14" i="22"/>
  <c r="H13" i="22"/>
  <c r="H14" i="22"/>
  <c r="I13" i="22"/>
  <c r="I14" i="22"/>
  <c r="J13" i="22"/>
  <c r="J14" i="22"/>
  <c r="K13" i="22"/>
  <c r="K14" i="22"/>
  <c r="L13" i="22"/>
  <c r="L14" i="22"/>
  <c r="M13" i="22"/>
  <c r="M14" i="22"/>
  <c r="N13" i="22"/>
  <c r="N14" i="22"/>
  <c r="O13" i="22"/>
  <c r="O14" i="22"/>
  <c r="P13" i="22"/>
  <c r="P14" i="22"/>
  <c r="Q13" i="22"/>
  <c r="Q14" i="22"/>
  <c r="R13" i="22"/>
  <c r="R14" i="22"/>
  <c r="S13" i="22"/>
  <c r="S14" i="22"/>
  <c r="T13" i="22"/>
  <c r="T14" i="22"/>
  <c r="U13" i="22"/>
  <c r="U14" i="22"/>
  <c r="V13" i="22"/>
  <c r="V14" i="22"/>
  <c r="W13" i="22"/>
  <c r="W14" i="22"/>
  <c r="X13" i="22"/>
  <c r="X14" i="22"/>
  <c r="Y13" i="22"/>
  <c r="Y14" i="22"/>
  <c r="Z13" i="22"/>
  <c r="Z14" i="22"/>
  <c r="AA13" i="22"/>
  <c r="AA14" i="22"/>
  <c r="AB13" i="22"/>
  <c r="AB14" i="22"/>
  <c r="AC13" i="22"/>
  <c r="AC14" i="22"/>
  <c r="AD13" i="22"/>
  <c r="AD14" i="22"/>
  <c r="AE13" i="22"/>
  <c r="AE14" i="22"/>
  <c r="AF13" i="22"/>
  <c r="AF14" i="22"/>
  <c r="AG13" i="22"/>
  <c r="AG14" i="22"/>
  <c r="AH13" i="22"/>
  <c r="AH14" i="22"/>
  <c r="AI13" i="22"/>
  <c r="AI14" i="22"/>
  <c r="AJ13" i="22"/>
  <c r="AJ14" i="22"/>
  <c r="AK13" i="22"/>
  <c r="AK14" i="22"/>
  <c r="AL13" i="22"/>
  <c r="AL14" i="22"/>
  <c r="AM13" i="22"/>
  <c r="AM14" i="22"/>
  <c r="AN13" i="22"/>
  <c r="AN14" i="22"/>
  <c r="AO13" i="22"/>
  <c r="AO14" i="22"/>
  <c r="AP13" i="22"/>
  <c r="AP14" i="22"/>
  <c r="AQ13" i="22"/>
  <c r="AQ14" i="22"/>
  <c r="AR13" i="22"/>
  <c r="AR14" i="22"/>
  <c r="AS13" i="22"/>
  <c r="AS14" i="22"/>
  <c r="AT13" i="22"/>
  <c r="AT14" i="22"/>
  <c r="AU13" i="22"/>
  <c r="AU14" i="22"/>
  <c r="AV13" i="22"/>
  <c r="AV14" i="22"/>
  <c r="AW13" i="22"/>
  <c r="AW14" i="22"/>
  <c r="AX13" i="22"/>
  <c r="AX14" i="22"/>
  <c r="AY13" i="22"/>
  <c r="AY14" i="22"/>
  <c r="AZ13" i="22"/>
  <c r="AZ14" i="22"/>
  <c r="BA13" i="22"/>
  <c r="BA14" i="22"/>
  <c r="D38" i="22"/>
  <c r="D43" i="22"/>
  <c r="E35" i="22"/>
  <c r="C5" i="22"/>
  <c r="E31" i="22"/>
  <c r="E38" i="22"/>
  <c r="E40" i="22"/>
  <c r="E41" i="22"/>
  <c r="E42" i="22"/>
  <c r="F31" i="22"/>
  <c r="F33" i="22"/>
  <c r="G31" i="22"/>
  <c r="G33" i="22"/>
  <c r="H31" i="22"/>
  <c r="H35" i="22"/>
  <c r="H38" i="22"/>
  <c r="H40" i="22"/>
  <c r="H41" i="22"/>
  <c r="H42" i="22"/>
  <c r="I31" i="22"/>
  <c r="I33" i="22"/>
  <c r="J31" i="22"/>
  <c r="J33" i="22"/>
  <c r="K31" i="22"/>
  <c r="K33" i="22"/>
  <c r="L31" i="22"/>
  <c r="L33" i="22"/>
  <c r="M31" i="22"/>
  <c r="M35" i="22"/>
  <c r="M38" i="22"/>
  <c r="M40" i="22"/>
  <c r="M41" i="22"/>
  <c r="M42" i="22"/>
  <c r="N31" i="22"/>
  <c r="N33" i="22"/>
  <c r="O31" i="22"/>
  <c r="O35" i="22"/>
  <c r="O38" i="22"/>
  <c r="O40" i="22"/>
  <c r="O41" i="22"/>
  <c r="O42" i="22"/>
  <c r="P31" i="22"/>
  <c r="P33" i="22"/>
  <c r="Q31" i="22"/>
  <c r="Q33" i="22"/>
  <c r="R31" i="22"/>
  <c r="R33" i="22"/>
  <c r="S31" i="22"/>
  <c r="S35" i="22"/>
  <c r="S38" i="22"/>
  <c r="S40" i="22"/>
  <c r="S41" i="22"/>
  <c r="S42" i="22"/>
  <c r="T31" i="22"/>
  <c r="T35" i="22"/>
  <c r="T38" i="22"/>
  <c r="T40" i="22"/>
  <c r="T41" i="22"/>
  <c r="T42" i="22"/>
  <c r="U31" i="22"/>
  <c r="U33" i="22"/>
  <c r="V31" i="22"/>
  <c r="V33" i="22"/>
  <c r="W31" i="22"/>
  <c r="W35" i="22"/>
  <c r="W38" i="22"/>
  <c r="W40" i="22"/>
  <c r="W41" i="22"/>
  <c r="W42" i="22"/>
  <c r="X31" i="22"/>
  <c r="X33" i="22"/>
  <c r="Y31" i="22"/>
  <c r="Y35" i="22"/>
  <c r="Y38" i="22"/>
  <c r="Y40" i="22"/>
  <c r="Y41" i="22"/>
  <c r="Y42" i="22"/>
  <c r="Z31" i="22"/>
  <c r="Z33" i="22"/>
  <c r="AA31" i="22"/>
  <c r="AA35" i="22"/>
  <c r="AA38" i="22"/>
  <c r="AA40" i="22"/>
  <c r="AA41" i="22"/>
  <c r="AA42" i="22"/>
  <c r="AB31" i="22"/>
  <c r="AB35" i="22"/>
  <c r="AB38" i="22"/>
  <c r="AB40" i="22"/>
  <c r="AB41" i="22"/>
  <c r="AB42" i="22"/>
  <c r="AC31" i="22"/>
  <c r="AC33" i="22"/>
  <c r="AD31" i="22"/>
  <c r="AD33" i="22"/>
  <c r="AE31" i="22"/>
  <c r="AE35" i="22"/>
  <c r="AE38" i="22"/>
  <c r="AE40" i="22"/>
  <c r="AE41" i="22"/>
  <c r="AE42" i="22"/>
  <c r="AF31" i="22"/>
  <c r="AF33" i="22"/>
  <c r="AG31" i="22"/>
  <c r="AG33" i="22"/>
  <c r="AH31" i="22"/>
  <c r="AH33" i="22"/>
  <c r="AI31" i="22"/>
  <c r="AI35" i="22"/>
  <c r="AI38" i="22"/>
  <c r="AI40" i="22"/>
  <c r="AI41" i="22"/>
  <c r="AI42" i="22"/>
  <c r="AJ31" i="22"/>
  <c r="AJ33" i="22"/>
  <c r="AK31" i="22"/>
  <c r="AK33" i="22"/>
  <c r="AL31" i="22"/>
  <c r="AL33" i="22"/>
  <c r="AM31" i="22"/>
  <c r="AM35" i="22"/>
  <c r="AM38" i="22"/>
  <c r="AM40" i="22"/>
  <c r="AM41" i="22"/>
  <c r="AM42" i="22"/>
  <c r="AN31" i="22"/>
  <c r="AN33" i="22"/>
  <c r="AO31" i="22"/>
  <c r="AO35" i="22"/>
  <c r="AO38" i="22"/>
  <c r="AO40" i="22"/>
  <c r="AO41" i="22"/>
  <c r="AO42" i="22"/>
  <c r="AP31" i="22"/>
  <c r="AP33" i="22"/>
  <c r="AQ31" i="22"/>
  <c r="AQ35" i="22"/>
  <c r="AQ38" i="22"/>
  <c r="AQ40" i="22"/>
  <c r="AQ41" i="22"/>
  <c r="AQ42" i="22"/>
  <c r="AR31" i="22"/>
  <c r="AR35" i="22"/>
  <c r="AR38" i="22"/>
  <c r="AR40" i="22"/>
  <c r="AR41" i="22"/>
  <c r="AR42" i="22"/>
  <c r="AS31" i="22"/>
  <c r="AS33" i="22"/>
  <c r="AT31" i="22"/>
  <c r="AT33" i="22"/>
  <c r="AU31" i="22"/>
  <c r="AU35" i="22"/>
  <c r="AU38" i="22"/>
  <c r="AU40" i="22"/>
  <c r="AU41" i="22"/>
  <c r="AU42" i="22"/>
  <c r="AV31" i="22"/>
  <c r="AW31" i="22"/>
  <c r="AX31" i="22"/>
  <c r="AX33" i="22"/>
  <c r="AY31" i="22"/>
  <c r="AY35" i="22"/>
  <c r="AY38" i="22"/>
  <c r="AY40" i="22"/>
  <c r="AY41" i="22"/>
  <c r="AY42" i="22"/>
  <c r="AZ31" i="22"/>
  <c r="AZ33" i="22"/>
  <c r="BA31" i="22"/>
  <c r="E33" i="22"/>
  <c r="M33" i="22"/>
  <c r="S33" i="22"/>
  <c r="T33" i="22"/>
  <c r="Y33" i="22"/>
  <c r="AB33" i="22"/>
  <c r="AO33" i="22"/>
  <c r="AR33" i="22"/>
  <c r="AV33" i="22"/>
  <c r="AW33" i="22"/>
  <c r="BA33" i="22"/>
  <c r="BB34" i="22"/>
  <c r="F35" i="22"/>
  <c r="G35" i="22"/>
  <c r="I35" i="22"/>
  <c r="J35" i="22"/>
  <c r="K35" i="22"/>
  <c r="L35" i="22"/>
  <c r="N35" i="22"/>
  <c r="P35" i="22"/>
  <c r="Q35" i="22"/>
  <c r="R35" i="22"/>
  <c r="U35" i="22"/>
  <c r="V35" i="22"/>
  <c r="X35" i="22"/>
  <c r="Z35" i="22"/>
  <c r="AC35" i="22"/>
  <c r="AD35" i="22"/>
  <c r="AF35" i="22"/>
  <c r="AG35" i="22"/>
  <c r="AH35" i="22"/>
  <c r="AJ35" i="22"/>
  <c r="AK35" i="22"/>
  <c r="AL35" i="22"/>
  <c r="AN35" i="22"/>
  <c r="AP35" i="22"/>
  <c r="AS35" i="22"/>
  <c r="AT35" i="22"/>
  <c r="AV35" i="22"/>
  <c r="AW35" i="22"/>
  <c r="AX35" i="22"/>
  <c r="AZ35" i="22"/>
  <c r="BA35" i="22"/>
  <c r="F38" i="22"/>
  <c r="G38" i="22"/>
  <c r="I38" i="22"/>
  <c r="J38" i="22"/>
  <c r="K38" i="22"/>
  <c r="L38" i="22"/>
  <c r="N38" i="22"/>
  <c r="P38" i="22"/>
  <c r="Q38" i="22"/>
  <c r="R38" i="22"/>
  <c r="U38" i="22"/>
  <c r="V38" i="22"/>
  <c r="X38" i="22"/>
  <c r="Z38" i="22"/>
  <c r="AC38" i="22"/>
  <c r="AD38" i="22"/>
  <c r="AF38" i="22"/>
  <c r="AG38" i="22"/>
  <c r="AH38" i="22"/>
  <c r="AJ38" i="22"/>
  <c r="AK38" i="22"/>
  <c r="AL38" i="22"/>
  <c r="AN38" i="22"/>
  <c r="AP38" i="22"/>
  <c r="AS38" i="22"/>
  <c r="AT38" i="22"/>
  <c r="AV38" i="22"/>
  <c r="AW38" i="22"/>
  <c r="AX38" i="22"/>
  <c r="AZ38" i="22"/>
  <c r="BA38" i="22"/>
  <c r="BB38" i="22"/>
  <c r="F40" i="22"/>
  <c r="G40" i="22"/>
  <c r="I40" i="22"/>
  <c r="J40" i="22"/>
  <c r="K40" i="22"/>
  <c r="L40" i="22"/>
  <c r="N40" i="22"/>
  <c r="P40" i="22"/>
  <c r="Q40" i="22"/>
  <c r="R40" i="22"/>
  <c r="U40" i="22"/>
  <c r="V40" i="22"/>
  <c r="X40" i="22"/>
  <c r="Z40" i="22"/>
  <c r="AC40" i="22"/>
  <c r="AD40" i="22"/>
  <c r="AF40" i="22"/>
  <c r="AG40" i="22"/>
  <c r="AH40" i="22"/>
  <c r="AJ40" i="22"/>
  <c r="AK40" i="22"/>
  <c r="AL40" i="22"/>
  <c r="AN40" i="22"/>
  <c r="AP40" i="22"/>
  <c r="AS40" i="22"/>
  <c r="AT40" i="22"/>
  <c r="AV40" i="22"/>
  <c r="AW40" i="22"/>
  <c r="AX40" i="22"/>
  <c r="AZ40" i="22"/>
  <c r="BA40" i="22"/>
  <c r="I41" i="22"/>
  <c r="I42" i="22"/>
  <c r="P41" i="22"/>
  <c r="P42" i="22"/>
  <c r="Q41" i="22"/>
  <c r="Q42" i="22"/>
  <c r="AC41" i="22"/>
  <c r="AC42" i="22"/>
  <c r="AF41" i="22"/>
  <c r="AF42" i="22"/>
  <c r="AN41" i="22"/>
  <c r="AN42" i="22"/>
  <c r="AV41" i="22"/>
  <c r="AV42" i="22"/>
  <c r="AV43" i="22"/>
  <c r="AV44" i="22"/>
  <c r="AW41" i="22"/>
  <c r="AW42" i="22"/>
  <c r="AW43" i="22"/>
  <c r="AW44" i="22"/>
  <c r="BA41" i="22"/>
  <c r="BA42" i="22"/>
  <c r="BA43" i="22"/>
  <c r="D44" i="22"/>
  <c r="BA44" i="22"/>
  <c r="Q43" i="22"/>
  <c r="Q44" i="22"/>
  <c r="U41" i="22"/>
  <c r="U42" i="22"/>
  <c r="U43" i="22"/>
  <c r="U44" i="22"/>
  <c r="J41" i="22"/>
  <c r="J42" i="22"/>
  <c r="AS41" i="22"/>
  <c r="AS42" i="22"/>
  <c r="AG41" i="22"/>
  <c r="AG42" i="22"/>
  <c r="AG43" i="22"/>
  <c r="AG44" i="22"/>
  <c r="X41" i="22"/>
  <c r="X42" i="22"/>
  <c r="AK41" i="22"/>
  <c r="AK42" i="22"/>
  <c r="F41" i="22"/>
  <c r="F42" i="22"/>
  <c r="AR43" i="22"/>
  <c r="AR44" i="22"/>
  <c r="AB43" i="22"/>
  <c r="AB44" i="22"/>
  <c r="T43" i="22"/>
  <c r="T44" i="22"/>
  <c r="E43" i="22"/>
  <c r="E44" i="22"/>
  <c r="AI33" i="22"/>
  <c r="AI43" i="22"/>
  <c r="AI44" i="22"/>
  <c r="O33" i="22"/>
  <c r="O43" i="22"/>
  <c r="O44" i="22"/>
  <c r="AZ41" i="22"/>
  <c r="AZ42" i="22"/>
  <c r="AZ43" i="22"/>
  <c r="AZ44" i="22"/>
  <c r="AJ41" i="22"/>
  <c r="AJ42" i="22"/>
  <c r="AJ43" i="22"/>
  <c r="AJ44" i="22"/>
  <c r="L41" i="22"/>
  <c r="L42" i="22"/>
  <c r="L43" i="22"/>
  <c r="L44" i="22"/>
  <c r="AY33" i="22"/>
  <c r="AE33" i="22"/>
  <c r="AE43" i="22"/>
  <c r="AE44" i="22"/>
  <c r="AF43" i="22"/>
  <c r="AF44" i="22"/>
  <c r="P43" i="22"/>
  <c r="P44" i="22"/>
  <c r="AU33" i="22"/>
  <c r="AK43" i="22"/>
  <c r="AK44" i="22"/>
  <c r="M43" i="22"/>
  <c r="M44" i="22"/>
  <c r="AU43" i="22"/>
  <c r="AU44" i="22"/>
  <c r="AN43" i="22"/>
  <c r="AN44" i="22"/>
  <c r="X43" i="22"/>
  <c r="X44" i="22"/>
  <c r="I43" i="22"/>
  <c r="I44" i="22"/>
  <c r="AQ33" i="22"/>
  <c r="AA33" i="22"/>
  <c r="AA43" i="22"/>
  <c r="AA44" i="22"/>
  <c r="AS43" i="22"/>
  <c r="AS44" i="22"/>
  <c r="AC43" i="22"/>
  <c r="AC44" i="22"/>
  <c r="F43" i="22"/>
  <c r="F44" i="22"/>
  <c r="AY43" i="22"/>
  <c r="AY44" i="22"/>
  <c r="AQ43" i="22"/>
  <c r="AQ44" i="22"/>
  <c r="S43" i="22"/>
  <c r="S44" i="22"/>
  <c r="H33" i="22"/>
  <c r="H43" i="22"/>
  <c r="H44" i="22"/>
  <c r="AO43" i="22"/>
  <c r="AO44" i="22"/>
  <c r="Y43" i="22"/>
  <c r="Y44" i="22"/>
  <c r="J43" i="22"/>
  <c r="J44" i="22"/>
  <c r="AM33" i="22"/>
  <c r="AM43" i="22"/>
  <c r="AM44" i="22"/>
  <c r="W33" i="22"/>
  <c r="W43" i="22"/>
  <c r="W44" i="22"/>
  <c r="AX41" i="22"/>
  <c r="AX42" i="22"/>
  <c r="AX43" i="22"/>
  <c r="AX44" i="22"/>
  <c r="AT41" i="22"/>
  <c r="AT42" i="22"/>
  <c r="AT43" i="22"/>
  <c r="AT44" i="22"/>
  <c r="AP41" i="22"/>
  <c r="AP42" i="22"/>
  <c r="AP43" i="22"/>
  <c r="AP44" i="22"/>
  <c r="AL41" i="22"/>
  <c r="AL42" i="22"/>
  <c r="AL43" i="22"/>
  <c r="AL44" i="22"/>
  <c r="AH41" i="22"/>
  <c r="AH42" i="22"/>
  <c r="AH43" i="22"/>
  <c r="AH44" i="22"/>
  <c r="AD41" i="22"/>
  <c r="AD42" i="22"/>
  <c r="AD43" i="22"/>
  <c r="AD44" i="22"/>
  <c r="Z41" i="22"/>
  <c r="Z42" i="22"/>
  <c r="Z43" i="22"/>
  <c r="Z44" i="22"/>
  <c r="V41" i="22"/>
  <c r="V42" i="22"/>
  <c r="V43" i="22"/>
  <c r="V44" i="22"/>
  <c r="R41" i="22"/>
  <c r="R42" i="22"/>
  <c r="R43" i="22"/>
  <c r="R44" i="22"/>
  <c r="N41" i="22"/>
  <c r="N42" i="22"/>
  <c r="N43" i="22"/>
  <c r="N44" i="22"/>
  <c r="K41" i="22"/>
  <c r="K42" i="22"/>
  <c r="K43" i="22"/>
  <c r="K44" i="22"/>
  <c r="G41" i="22"/>
  <c r="G42" i="22"/>
  <c r="G43" i="22"/>
  <c r="G44" i="22"/>
  <c r="E1" i="44"/>
  <c r="F1" i="44"/>
  <c r="G1" i="44"/>
  <c r="H1" i="44"/>
  <c r="I1" i="44"/>
  <c r="J1" i="44"/>
  <c r="K1" i="44"/>
  <c r="L1" i="44"/>
  <c r="M1" i="44"/>
  <c r="N1" i="44"/>
  <c r="O1" i="44"/>
  <c r="P1" i="44"/>
  <c r="Q1" i="44"/>
  <c r="R1" i="44"/>
  <c r="S1" i="44"/>
  <c r="T1" i="44"/>
  <c r="U1" i="44"/>
  <c r="V1" i="44"/>
  <c r="W1" i="44"/>
  <c r="X1" i="44"/>
  <c r="Y1" i="44"/>
  <c r="Z1" i="44"/>
  <c r="AA1" i="44"/>
  <c r="AB1" i="44"/>
  <c r="AC1" i="44"/>
  <c r="AD1" i="44"/>
  <c r="AE1" i="44"/>
  <c r="AF1" i="44"/>
  <c r="AG1" i="44"/>
  <c r="AH1" i="44"/>
  <c r="AI1" i="44"/>
  <c r="AJ1" i="44"/>
  <c r="AK1" i="44"/>
  <c r="AL1" i="44"/>
  <c r="AM1" i="44"/>
  <c r="AN1" i="44"/>
  <c r="AO1" i="44"/>
  <c r="AP1" i="44"/>
  <c r="AQ1" i="44"/>
  <c r="AR1" i="44"/>
  <c r="AS1" i="44"/>
  <c r="AT1" i="44"/>
  <c r="AU1" i="44"/>
  <c r="AV1" i="44"/>
  <c r="AW1" i="44"/>
  <c r="AX1" i="44"/>
  <c r="AY1" i="44"/>
  <c r="AZ1" i="44"/>
  <c r="BA1" i="44"/>
  <c r="BA36" i="44"/>
  <c r="D36" i="44"/>
  <c r="E36" i="44"/>
  <c r="F36" i="44"/>
  <c r="G36" i="44"/>
  <c r="H36" i="44"/>
  <c r="I36" i="44"/>
  <c r="J36" i="44"/>
  <c r="K36" i="44"/>
  <c r="L36" i="44"/>
  <c r="M36" i="44"/>
  <c r="N36" i="44"/>
  <c r="O36" i="44"/>
  <c r="P36" i="44"/>
  <c r="Q36" i="44"/>
  <c r="R36" i="44"/>
  <c r="S36" i="44"/>
  <c r="T36" i="44"/>
  <c r="U36" i="44"/>
  <c r="V36" i="44"/>
  <c r="W36" i="44"/>
  <c r="X36" i="44"/>
  <c r="Y36" i="44"/>
  <c r="Z36" i="44"/>
  <c r="AA36" i="44"/>
  <c r="AB36" i="44"/>
  <c r="AC36" i="44"/>
  <c r="AD36" i="44"/>
  <c r="AE36" i="44"/>
  <c r="AF36" i="44"/>
  <c r="AG36" i="44"/>
  <c r="AH36" i="44"/>
  <c r="AI36" i="44"/>
  <c r="AJ36" i="44"/>
  <c r="AK36" i="44"/>
  <c r="AL36" i="44"/>
  <c r="AM36" i="44"/>
  <c r="AN36" i="44"/>
  <c r="AO36" i="44"/>
  <c r="AP36" i="44"/>
  <c r="AQ36" i="44"/>
  <c r="AR36" i="44"/>
  <c r="AS36" i="44"/>
  <c r="AT36" i="44"/>
  <c r="AU36" i="44"/>
  <c r="AV36" i="44"/>
  <c r="AW36" i="44"/>
  <c r="AX36" i="44"/>
  <c r="AY36" i="44"/>
  <c r="AZ36" i="44"/>
  <c r="BA37" i="44"/>
  <c r="AZ37" i="44"/>
  <c r="AY37" i="44"/>
  <c r="AX37" i="44"/>
  <c r="AW37" i="44"/>
  <c r="AV37" i="44"/>
  <c r="AU37" i="44"/>
  <c r="AT37" i="44"/>
  <c r="AS37" i="44"/>
  <c r="AR37" i="44"/>
  <c r="AQ37" i="44"/>
  <c r="AP37" i="44"/>
  <c r="AO37" i="44"/>
  <c r="AN37" i="44"/>
  <c r="AM37" i="44"/>
  <c r="AL37" i="44"/>
  <c r="AK37" i="44"/>
  <c r="AJ37" i="44"/>
  <c r="AI37" i="44"/>
  <c r="AH37" i="44"/>
  <c r="AG37" i="44"/>
  <c r="AF37" i="44"/>
  <c r="AE37" i="44"/>
  <c r="AD37" i="44"/>
  <c r="AC37" i="44"/>
  <c r="AB37" i="44"/>
  <c r="AA37" i="44"/>
  <c r="Z37" i="44"/>
  <c r="Y37" i="44"/>
  <c r="X37" i="44"/>
  <c r="W37" i="44"/>
  <c r="V37" i="44"/>
  <c r="U37" i="44"/>
  <c r="T37" i="44"/>
  <c r="S37" i="44"/>
  <c r="R37" i="44"/>
  <c r="Q37" i="44"/>
  <c r="P37" i="44"/>
  <c r="O37" i="44"/>
  <c r="N37" i="44"/>
  <c r="M37" i="44"/>
  <c r="L37" i="44"/>
  <c r="K37" i="44"/>
  <c r="J37" i="44"/>
  <c r="I37" i="44"/>
  <c r="H37" i="44"/>
  <c r="G37" i="44"/>
  <c r="F37" i="44"/>
  <c r="E37" i="44"/>
  <c r="D37" i="44"/>
  <c r="C36" i="44"/>
  <c r="BB36" i="44"/>
  <c r="D35" i="44"/>
  <c r="E35" i="44"/>
  <c r="F35" i="44"/>
  <c r="G35" i="44"/>
  <c r="H35" i="44"/>
  <c r="I35" i="44"/>
  <c r="J35" i="44"/>
  <c r="K35" i="44"/>
  <c r="L35" i="44"/>
  <c r="M35" i="44"/>
  <c r="N35" i="44"/>
  <c r="O35" i="44"/>
  <c r="P35" i="44"/>
  <c r="Q35" i="44"/>
  <c r="R35" i="44"/>
  <c r="S35" i="44"/>
  <c r="T35" i="44"/>
  <c r="U35" i="44"/>
  <c r="V35" i="44"/>
  <c r="W35" i="44"/>
  <c r="X35" i="44"/>
  <c r="Y35" i="44"/>
  <c r="Z35" i="44"/>
  <c r="AA35" i="44"/>
  <c r="AB35" i="44"/>
  <c r="AC35" i="44"/>
  <c r="AD35" i="44"/>
  <c r="AE35" i="44"/>
  <c r="AF35" i="44"/>
  <c r="AG35" i="44"/>
  <c r="AH35" i="44"/>
  <c r="AI35" i="44"/>
  <c r="AJ35" i="44"/>
  <c r="AK35" i="44"/>
  <c r="AL35" i="44"/>
  <c r="AM35" i="44"/>
  <c r="AN35" i="44"/>
  <c r="AO35" i="44"/>
  <c r="AP35" i="44"/>
  <c r="AQ35" i="44"/>
  <c r="AR35" i="44"/>
  <c r="AS35" i="44"/>
  <c r="AT35" i="44"/>
  <c r="AU35" i="44"/>
  <c r="AV35" i="44"/>
  <c r="AW35" i="44"/>
  <c r="AX35" i="44"/>
  <c r="AY35" i="44"/>
  <c r="AZ35" i="44"/>
  <c r="BA35" i="44"/>
  <c r="BB35" i="44"/>
  <c r="C35" i="44"/>
  <c r="BB34" i="44"/>
  <c r="BB33" i="44"/>
  <c r="C33" i="44"/>
  <c r="BB32" i="44"/>
  <c r="D39" i="44"/>
  <c r="C39" i="44"/>
  <c r="E39" i="44"/>
  <c r="F39" i="44"/>
  <c r="G39" i="44"/>
  <c r="H39" i="44"/>
  <c r="I39" i="44"/>
  <c r="J39" i="44"/>
  <c r="K39" i="44"/>
  <c r="L39" i="44"/>
  <c r="M39" i="44"/>
  <c r="N39" i="44"/>
  <c r="O39" i="44"/>
  <c r="P39" i="44"/>
  <c r="Q39" i="44"/>
  <c r="R39" i="44"/>
  <c r="S39" i="44"/>
  <c r="T39" i="44"/>
  <c r="U39" i="44"/>
  <c r="V39" i="44"/>
  <c r="W39" i="44"/>
  <c r="X39" i="44"/>
  <c r="Y39" i="44"/>
  <c r="Z39" i="44"/>
  <c r="AA39" i="44"/>
  <c r="AB39" i="44"/>
  <c r="AC39" i="44"/>
  <c r="AD39" i="44"/>
  <c r="AE39" i="44"/>
  <c r="AF39" i="44"/>
  <c r="AG39" i="44"/>
  <c r="AH39" i="44"/>
  <c r="AI39" i="44"/>
  <c r="AJ39" i="44"/>
  <c r="AK39" i="44"/>
  <c r="AL39" i="44"/>
  <c r="AM39" i="44"/>
  <c r="AN39" i="44"/>
  <c r="AO39" i="44"/>
  <c r="AP39" i="44"/>
  <c r="AQ39" i="44"/>
  <c r="AR39" i="44"/>
  <c r="AS39" i="44"/>
  <c r="AT39" i="44"/>
  <c r="AU39" i="44"/>
  <c r="AV39" i="44"/>
  <c r="AW39" i="44"/>
  <c r="AX39" i="44"/>
  <c r="AY39" i="44"/>
  <c r="AZ39" i="44"/>
  <c r="BA39" i="44"/>
  <c r="E4" i="44"/>
  <c r="E38" i="44"/>
  <c r="N4" i="44"/>
  <c r="N38" i="44"/>
  <c r="O4" i="44"/>
  <c r="O38" i="44"/>
  <c r="R4" i="44"/>
  <c r="R38" i="44"/>
  <c r="AC4" i="44"/>
  <c r="AC38" i="44"/>
  <c r="AD4" i="44"/>
  <c r="AD38" i="44"/>
  <c r="AK4" i="44"/>
  <c r="AK38" i="44"/>
  <c r="AR4" i="44"/>
  <c r="AR38" i="44"/>
  <c r="AX4" i="44"/>
  <c r="AX38" i="44"/>
  <c r="B62" i="44"/>
  <c r="C62" i="44"/>
  <c r="D62" i="44"/>
  <c r="B63" i="44"/>
  <c r="C63" i="44"/>
  <c r="D63" i="44"/>
  <c r="B64" i="44"/>
  <c r="C64" i="44"/>
  <c r="D64" i="44"/>
  <c r="B65" i="44"/>
  <c r="C65" i="44"/>
  <c r="D65" i="44"/>
  <c r="B66" i="44"/>
  <c r="C66" i="44"/>
  <c r="D66" i="44"/>
  <c r="B67" i="44"/>
  <c r="C67" i="44"/>
  <c r="D67" i="44"/>
  <c r="B68" i="44"/>
  <c r="C68" i="44"/>
  <c r="D68" i="44"/>
  <c r="B69" i="44"/>
  <c r="C69" i="44"/>
  <c r="D69" i="44"/>
  <c r="B70" i="44"/>
  <c r="C70" i="44"/>
  <c r="D70" i="44"/>
  <c r="B71" i="44"/>
  <c r="C71" i="44"/>
  <c r="D71" i="44"/>
  <c r="B72" i="44"/>
  <c r="C72" i="44"/>
  <c r="D72" i="44"/>
  <c r="B73" i="44"/>
  <c r="C73" i="44"/>
  <c r="D73" i="44"/>
  <c r="B74" i="44"/>
  <c r="C74" i="44"/>
  <c r="D74" i="44"/>
  <c r="B75" i="44"/>
  <c r="C75" i="44"/>
  <c r="D75" i="44"/>
  <c r="B76" i="44"/>
  <c r="C76" i="44"/>
  <c r="D76" i="44"/>
  <c r="B77" i="44"/>
  <c r="C77" i="44"/>
  <c r="D77" i="44"/>
  <c r="B78" i="44"/>
  <c r="C78" i="44"/>
  <c r="D78" i="44"/>
  <c r="B79" i="44"/>
  <c r="C79" i="44"/>
  <c r="D79" i="44"/>
  <c r="B80" i="44"/>
  <c r="C80" i="44"/>
  <c r="D80" i="44"/>
  <c r="B81" i="44"/>
  <c r="C81" i="44"/>
  <c r="D81" i="44"/>
  <c r="B82" i="44"/>
  <c r="C82" i="44"/>
  <c r="D82" i="44"/>
  <c r="B83" i="44"/>
  <c r="C83" i="44"/>
  <c r="D83" i="44"/>
  <c r="B84" i="44"/>
  <c r="C84" i="44"/>
  <c r="D84" i="44"/>
  <c r="B85" i="44"/>
  <c r="C85" i="44"/>
  <c r="D85" i="44"/>
  <c r="B61" i="44"/>
  <c r="C61" i="44"/>
  <c r="D61" i="44"/>
  <c r="D4" i="44"/>
  <c r="D38" i="44"/>
  <c r="C38" i="44"/>
  <c r="F4" i="44"/>
  <c r="F38" i="44"/>
  <c r="G4" i="44"/>
  <c r="G38" i="44"/>
  <c r="H4" i="44"/>
  <c r="H38" i="44"/>
  <c r="I4" i="44"/>
  <c r="I38" i="44"/>
  <c r="J4" i="44"/>
  <c r="J38" i="44"/>
  <c r="K4" i="44"/>
  <c r="K38" i="44"/>
  <c r="L4" i="44"/>
  <c r="L38" i="44"/>
  <c r="M4" i="44"/>
  <c r="M38" i="44"/>
  <c r="P4" i="44"/>
  <c r="P38" i="44"/>
  <c r="Q4" i="44"/>
  <c r="Q38" i="44"/>
  <c r="S4" i="44"/>
  <c r="S38" i="44"/>
  <c r="T4" i="44"/>
  <c r="T38" i="44"/>
  <c r="U4" i="44"/>
  <c r="U38" i="44"/>
  <c r="V4" i="44"/>
  <c r="V38" i="44"/>
  <c r="W4" i="44"/>
  <c r="W38" i="44"/>
  <c r="X4" i="44"/>
  <c r="X38" i="44"/>
  <c r="Y4" i="44"/>
  <c r="Y38" i="44"/>
  <c r="Z4" i="44"/>
  <c r="Z38" i="44"/>
  <c r="AA4" i="44"/>
  <c r="AA38" i="44"/>
  <c r="AB4" i="44"/>
  <c r="AB38" i="44"/>
  <c r="AE4" i="44"/>
  <c r="AE38" i="44"/>
  <c r="AF4" i="44"/>
  <c r="AF38" i="44"/>
  <c r="AG4" i="44"/>
  <c r="AG38" i="44"/>
  <c r="AH4" i="44"/>
  <c r="AH38" i="44"/>
  <c r="AI4" i="44"/>
  <c r="AI38" i="44"/>
  <c r="AJ4" i="44"/>
  <c r="AJ38" i="44"/>
  <c r="AL4" i="44"/>
  <c r="AL38" i="44"/>
  <c r="AM4" i="44"/>
  <c r="AM38" i="44"/>
  <c r="AN4" i="44"/>
  <c r="AN38" i="44"/>
  <c r="AO4" i="44"/>
  <c r="AO38" i="44"/>
  <c r="AP4" i="44"/>
  <c r="AP38" i="44"/>
  <c r="AQ4" i="44"/>
  <c r="AQ38" i="44"/>
  <c r="AS4" i="44"/>
  <c r="AS38" i="44"/>
  <c r="AT4" i="44"/>
  <c r="AT38" i="44"/>
  <c r="AU4" i="44"/>
  <c r="AU38" i="44"/>
  <c r="AV4" i="44"/>
  <c r="AV38" i="44"/>
  <c r="AW4" i="44"/>
  <c r="AW38" i="44"/>
  <c r="AY4" i="44"/>
  <c r="AY38" i="44"/>
  <c r="AZ4" i="44"/>
  <c r="AZ38" i="44"/>
  <c r="BA4" i="44"/>
  <c r="BA38" i="44"/>
  <c r="D6" i="45"/>
  <c r="F1" i="45"/>
  <c r="G1" i="45"/>
  <c r="H1" i="45"/>
  <c r="I1" i="45"/>
  <c r="J1" i="45"/>
  <c r="K1" i="45"/>
  <c r="L1" i="45"/>
  <c r="M1" i="45"/>
  <c r="N1" i="45"/>
  <c r="O1" i="45"/>
  <c r="P1" i="45"/>
  <c r="Q1" i="45"/>
  <c r="R1" i="45"/>
  <c r="S1" i="45"/>
  <c r="T1" i="45"/>
  <c r="U1" i="45"/>
  <c r="V1" i="45"/>
  <c r="W1" i="45"/>
  <c r="X1" i="45"/>
  <c r="Y1" i="45"/>
  <c r="Z1" i="45"/>
  <c r="AA1" i="45"/>
  <c r="AB1" i="45"/>
  <c r="AC1" i="45"/>
  <c r="AD1" i="45"/>
  <c r="AE1" i="45"/>
  <c r="AF1" i="45"/>
  <c r="AG1" i="45"/>
  <c r="AH1" i="45"/>
  <c r="AI1" i="45"/>
  <c r="AJ1" i="45"/>
  <c r="AK1" i="45"/>
  <c r="AL1" i="45"/>
  <c r="AM1" i="45"/>
  <c r="AN1" i="45"/>
  <c r="AO1" i="45"/>
  <c r="AP1" i="45"/>
  <c r="AQ1" i="45"/>
  <c r="AR1" i="45"/>
  <c r="AS1" i="45"/>
  <c r="AT1" i="45"/>
  <c r="AU1" i="45"/>
  <c r="AV1" i="45"/>
  <c r="AW1" i="45"/>
  <c r="AX1" i="45"/>
  <c r="AY1" i="45"/>
  <c r="AZ1" i="45"/>
  <c r="BA1" i="45"/>
  <c r="BB1" i="45"/>
  <c r="BB49" i="45"/>
  <c r="BA49" i="45"/>
  <c r="AZ49" i="45"/>
  <c r="AY49" i="45"/>
  <c r="AX49" i="45"/>
  <c r="AW49" i="45"/>
  <c r="AV49" i="45"/>
  <c r="AU49" i="45"/>
  <c r="AT49" i="45"/>
  <c r="AS49" i="45"/>
  <c r="AR49" i="45"/>
  <c r="AQ49" i="45"/>
  <c r="AP49" i="45"/>
  <c r="AO49" i="45"/>
  <c r="AN49" i="45"/>
  <c r="AM49" i="45"/>
  <c r="AL49" i="45"/>
  <c r="AK49" i="45"/>
  <c r="AJ49" i="45"/>
  <c r="AI49" i="45"/>
  <c r="AH49" i="45"/>
  <c r="AG49" i="45"/>
  <c r="AF49" i="45"/>
  <c r="AE49" i="45"/>
  <c r="AD49" i="45"/>
  <c r="AC49" i="45"/>
  <c r="AB49" i="45"/>
  <c r="AA49" i="45"/>
  <c r="Z49" i="45"/>
  <c r="Y49" i="45"/>
  <c r="X49" i="45"/>
  <c r="W49" i="45"/>
  <c r="V49" i="45"/>
  <c r="U49" i="45"/>
  <c r="T49" i="45"/>
  <c r="S49" i="45"/>
  <c r="R49" i="45"/>
  <c r="Q49" i="45"/>
  <c r="P49" i="45"/>
  <c r="O49" i="45"/>
  <c r="N49" i="45"/>
  <c r="M49" i="45"/>
  <c r="L49" i="45"/>
  <c r="K49" i="45"/>
  <c r="J49" i="45"/>
  <c r="I49" i="45"/>
  <c r="H49" i="45"/>
  <c r="G49" i="45"/>
  <c r="F49" i="45"/>
  <c r="E49" i="45"/>
  <c r="D49" i="45"/>
  <c r="BB48" i="45"/>
  <c r="BA48" i="45"/>
  <c r="AZ48" i="45"/>
  <c r="AY48" i="45"/>
  <c r="AX48" i="45"/>
  <c r="AW48" i="45"/>
  <c r="AV48" i="45"/>
  <c r="AU48" i="45"/>
  <c r="AT48" i="45"/>
  <c r="AS48" i="45"/>
  <c r="AR48" i="45"/>
  <c r="AQ48" i="45"/>
  <c r="AP48" i="45"/>
  <c r="AO48" i="45"/>
  <c r="AN48" i="45"/>
  <c r="AM48" i="45"/>
  <c r="AL48" i="45"/>
  <c r="AK48" i="45"/>
  <c r="AJ48" i="45"/>
  <c r="AI48" i="45"/>
  <c r="AH48" i="45"/>
  <c r="AG48" i="45"/>
  <c r="AF48" i="45"/>
  <c r="AE48" i="45"/>
  <c r="AD48" i="45"/>
  <c r="AC48" i="45"/>
  <c r="AB48" i="45"/>
  <c r="AA48" i="45"/>
  <c r="Z48" i="45"/>
  <c r="Y48" i="45"/>
  <c r="X48" i="45"/>
  <c r="W48" i="45"/>
  <c r="V48" i="45"/>
  <c r="U48" i="45"/>
  <c r="T48" i="45"/>
  <c r="S48" i="45"/>
  <c r="R48" i="45"/>
  <c r="Q48" i="45"/>
  <c r="P48" i="45"/>
  <c r="O48" i="45"/>
  <c r="N48" i="45"/>
  <c r="M48" i="45"/>
  <c r="L48" i="45"/>
  <c r="K48" i="45"/>
  <c r="J48" i="45"/>
  <c r="I48" i="45"/>
  <c r="H48" i="45"/>
  <c r="G48" i="45"/>
  <c r="F48" i="45"/>
  <c r="E48" i="45"/>
  <c r="D48" i="45"/>
  <c r="BB47" i="45"/>
  <c r="BA47" i="45"/>
  <c r="AZ47" i="45"/>
  <c r="AY47" i="45"/>
  <c r="AX47" i="45"/>
  <c r="AW47" i="45"/>
  <c r="AV47" i="45"/>
  <c r="AU47" i="45"/>
  <c r="AT47" i="45"/>
  <c r="AS47" i="45"/>
  <c r="AR47" i="45"/>
  <c r="AQ47" i="45"/>
  <c r="AP47" i="45"/>
  <c r="AO47" i="45"/>
  <c r="AN47" i="45"/>
  <c r="AM47" i="45"/>
  <c r="AL47" i="45"/>
  <c r="AK47" i="45"/>
  <c r="AJ47" i="45"/>
  <c r="AI47" i="45"/>
  <c r="AH47" i="45"/>
  <c r="AG47" i="45"/>
  <c r="AF47" i="45"/>
  <c r="AE47" i="45"/>
  <c r="AD47" i="45"/>
  <c r="AC47" i="45"/>
  <c r="AB47" i="45"/>
  <c r="AA47" i="45"/>
  <c r="Z47" i="45"/>
  <c r="Y47" i="45"/>
  <c r="X47" i="45"/>
  <c r="W47" i="45"/>
  <c r="V47" i="45"/>
  <c r="U47" i="45"/>
  <c r="T47" i="45"/>
  <c r="S47" i="45"/>
  <c r="R47" i="45"/>
  <c r="Q47" i="45"/>
  <c r="P47" i="45"/>
  <c r="O47" i="45"/>
  <c r="N47" i="45"/>
  <c r="M47" i="45"/>
  <c r="L47" i="45"/>
  <c r="K47" i="45"/>
  <c r="J47" i="45"/>
  <c r="I47" i="45"/>
  <c r="H47" i="45"/>
  <c r="G47" i="45"/>
  <c r="F47" i="45"/>
  <c r="E47" i="45"/>
  <c r="D47" i="45"/>
  <c r="BB36" i="45"/>
  <c r="BA36" i="45"/>
  <c r="AZ36" i="45"/>
  <c r="AY36" i="45"/>
  <c r="AX36" i="45"/>
  <c r="AW36" i="45"/>
  <c r="AV36" i="45"/>
  <c r="AU36" i="45"/>
  <c r="AT36" i="45"/>
  <c r="AS36" i="45"/>
  <c r="AR36" i="45"/>
  <c r="AQ36" i="45"/>
  <c r="AP36" i="45"/>
  <c r="AO36" i="45"/>
  <c r="AN36" i="45"/>
  <c r="AM36" i="45"/>
  <c r="AL36" i="45"/>
  <c r="AK36" i="45"/>
  <c r="AJ36" i="45"/>
  <c r="AI36" i="45"/>
  <c r="AH36" i="45"/>
  <c r="AG36" i="45"/>
  <c r="AF36" i="45"/>
  <c r="AE36" i="45"/>
  <c r="AD36" i="45"/>
  <c r="AC36" i="45"/>
  <c r="AB36" i="45"/>
  <c r="AA36" i="45"/>
  <c r="Z36" i="45"/>
  <c r="Y36" i="45"/>
  <c r="X36" i="45"/>
  <c r="W36" i="45"/>
  <c r="V36" i="45"/>
  <c r="U36" i="45"/>
  <c r="T36" i="45"/>
  <c r="S36" i="45"/>
  <c r="R36" i="45"/>
  <c r="Q36" i="45"/>
  <c r="P36" i="45"/>
  <c r="O36" i="45"/>
  <c r="N36" i="45"/>
  <c r="M36" i="45"/>
  <c r="L36" i="45"/>
  <c r="K36" i="45"/>
  <c r="J36" i="45"/>
  <c r="I36" i="45"/>
  <c r="H36" i="45"/>
  <c r="G36" i="45"/>
  <c r="F36" i="45"/>
  <c r="E36" i="45"/>
  <c r="D36" i="45"/>
  <c r="E21" i="45"/>
  <c r="F21" i="45"/>
  <c r="G21" i="45"/>
  <c r="H21" i="45"/>
  <c r="I21" i="45"/>
  <c r="J21" i="45"/>
  <c r="K21" i="45"/>
  <c r="L21" i="45"/>
  <c r="M21" i="45"/>
  <c r="N21" i="45"/>
  <c r="O21" i="45"/>
  <c r="P21" i="45"/>
  <c r="Q21" i="45"/>
  <c r="R21" i="45"/>
  <c r="S21" i="45"/>
  <c r="T21" i="45"/>
  <c r="U21" i="45"/>
  <c r="V21" i="45"/>
  <c r="W21" i="45"/>
  <c r="X21" i="45"/>
  <c r="Y21" i="45"/>
  <c r="Z21" i="45"/>
  <c r="AA21" i="45"/>
  <c r="AB21" i="45"/>
  <c r="AC21" i="45"/>
  <c r="AD21" i="45"/>
  <c r="AE21" i="45"/>
  <c r="AF21" i="45"/>
  <c r="AG21" i="45"/>
  <c r="AH21" i="45"/>
  <c r="AI21" i="45"/>
  <c r="AJ21" i="45"/>
  <c r="AK21" i="45"/>
  <c r="AL21" i="45"/>
  <c r="AM21" i="45"/>
  <c r="AN21" i="45"/>
  <c r="AO21" i="45"/>
  <c r="AP21" i="45"/>
  <c r="AQ21" i="45"/>
  <c r="AR21" i="45"/>
  <c r="AS21" i="45"/>
  <c r="AT21" i="45"/>
  <c r="AU21" i="45"/>
  <c r="AV21" i="45"/>
  <c r="AW21" i="45"/>
  <c r="AX21" i="45"/>
  <c r="AY21" i="45"/>
  <c r="AZ21" i="45"/>
  <c r="BA21" i="45"/>
  <c r="BB21" i="45"/>
  <c r="F13" i="45"/>
  <c r="G13" i="45"/>
  <c r="H13" i="45"/>
  <c r="I13" i="45"/>
  <c r="J13" i="45"/>
  <c r="K13" i="45"/>
  <c r="L13" i="45"/>
  <c r="M13" i="45"/>
  <c r="N13" i="45"/>
  <c r="O13" i="45"/>
  <c r="P13" i="45"/>
  <c r="Q13" i="45"/>
  <c r="R13" i="45"/>
  <c r="S13" i="45"/>
  <c r="T13" i="45"/>
  <c r="U13" i="45"/>
  <c r="V13" i="45"/>
  <c r="W13" i="45"/>
  <c r="X13" i="45"/>
  <c r="Y13" i="45"/>
  <c r="Z13" i="45"/>
  <c r="AA13" i="45"/>
  <c r="AB13" i="45"/>
  <c r="AC13" i="45"/>
  <c r="AD13" i="45"/>
  <c r="AE13" i="45"/>
  <c r="AF13" i="45"/>
  <c r="AG13" i="45"/>
  <c r="AH13" i="45"/>
  <c r="AI13" i="45"/>
  <c r="AJ13" i="45"/>
  <c r="AK13" i="45"/>
  <c r="AL13" i="45"/>
  <c r="AM13" i="45"/>
  <c r="AN13" i="45"/>
  <c r="AO13" i="45"/>
  <c r="AP13" i="45"/>
  <c r="AQ13" i="45"/>
  <c r="AR13" i="45"/>
  <c r="AS13" i="45"/>
  <c r="AT13" i="45"/>
  <c r="AU13" i="45"/>
  <c r="AV13" i="45"/>
  <c r="AW13" i="45"/>
  <c r="AX13" i="45"/>
  <c r="AY13" i="45"/>
  <c r="AZ13" i="45"/>
  <c r="BA13" i="45"/>
  <c r="BB13" i="45"/>
  <c r="F14" i="45"/>
  <c r="O14" i="45"/>
  <c r="P14" i="45"/>
  <c r="S14" i="45"/>
  <c r="AD14" i="45"/>
  <c r="AE14" i="45"/>
  <c r="AL14" i="45"/>
  <c r="AS14" i="45"/>
  <c r="AY14" i="45"/>
  <c r="F15" i="45"/>
  <c r="G15" i="45"/>
  <c r="H15" i="45"/>
  <c r="I15" i="45"/>
  <c r="J15" i="45"/>
  <c r="K15" i="45"/>
  <c r="L15" i="45"/>
  <c r="M15" i="45"/>
  <c r="N15" i="45"/>
  <c r="O15" i="45"/>
  <c r="P15" i="45"/>
  <c r="Q15" i="45"/>
  <c r="R15" i="45"/>
  <c r="S15" i="45"/>
  <c r="T15" i="45"/>
  <c r="U15" i="45"/>
  <c r="V15" i="45"/>
  <c r="W15" i="45"/>
  <c r="X15" i="45"/>
  <c r="Y15" i="45"/>
  <c r="Z15" i="45"/>
  <c r="AA15" i="45"/>
  <c r="AB15" i="45"/>
  <c r="AC15" i="45"/>
  <c r="AD15" i="45"/>
  <c r="AE15" i="45"/>
  <c r="AF15" i="45"/>
  <c r="AG15" i="45"/>
  <c r="AH15" i="45"/>
  <c r="AI15" i="45"/>
  <c r="AJ15" i="45"/>
  <c r="AK15" i="45"/>
  <c r="AL15" i="45"/>
  <c r="AM15" i="45"/>
  <c r="AN15" i="45"/>
  <c r="AO15" i="45"/>
  <c r="AP15" i="45"/>
  <c r="AQ15" i="45"/>
  <c r="AR15" i="45"/>
  <c r="AS15" i="45"/>
  <c r="AT15" i="45"/>
  <c r="AU15" i="45"/>
  <c r="AV15" i="45"/>
  <c r="AW15" i="45"/>
  <c r="AX15" i="45"/>
  <c r="AY15" i="45"/>
  <c r="AZ15" i="45"/>
  <c r="BA15" i="45"/>
  <c r="BB15" i="45"/>
  <c r="F16" i="45"/>
  <c r="G16" i="45"/>
  <c r="H16" i="45"/>
  <c r="I16" i="45"/>
  <c r="J16" i="45"/>
  <c r="K16" i="45"/>
  <c r="L16" i="45"/>
  <c r="M16" i="45"/>
  <c r="N16" i="45"/>
  <c r="O16" i="45"/>
  <c r="P16" i="45"/>
  <c r="Q16" i="45"/>
  <c r="R16" i="45"/>
  <c r="S16" i="45"/>
  <c r="T16" i="45"/>
  <c r="U16" i="45"/>
  <c r="V16" i="45"/>
  <c r="W16" i="45"/>
  <c r="X16" i="45"/>
  <c r="Y16" i="45"/>
  <c r="Z16" i="45"/>
  <c r="AA16" i="45"/>
  <c r="AB16" i="45"/>
  <c r="AC16" i="45"/>
  <c r="AD16" i="45"/>
  <c r="AE16" i="45"/>
  <c r="AF16" i="45"/>
  <c r="AG16" i="45"/>
  <c r="AH16" i="45"/>
  <c r="AI16" i="45"/>
  <c r="AJ16" i="45"/>
  <c r="AK16" i="45"/>
  <c r="AL16" i="45"/>
  <c r="AM16" i="45"/>
  <c r="AN16" i="45"/>
  <c r="AO16" i="45"/>
  <c r="AP16" i="45"/>
  <c r="AQ16" i="45"/>
  <c r="AR16" i="45"/>
  <c r="AS16" i="45"/>
  <c r="AT16" i="45"/>
  <c r="AU16" i="45"/>
  <c r="AV16" i="45"/>
  <c r="AW16" i="45"/>
  <c r="AX16" i="45"/>
  <c r="AY16" i="45"/>
  <c r="AZ16" i="45"/>
  <c r="BA16" i="45"/>
  <c r="BB16" i="45"/>
  <c r="F17" i="45"/>
  <c r="G17" i="45"/>
  <c r="H17" i="45"/>
  <c r="I17" i="45"/>
  <c r="J17" i="45"/>
  <c r="K17" i="45"/>
  <c r="L17" i="45"/>
  <c r="M17" i="45"/>
  <c r="N17" i="45"/>
  <c r="O17" i="45"/>
  <c r="P17" i="45"/>
  <c r="Q17" i="45"/>
  <c r="R17" i="45"/>
  <c r="S17" i="45"/>
  <c r="T17" i="45"/>
  <c r="U17" i="45"/>
  <c r="V17" i="45"/>
  <c r="W17" i="45"/>
  <c r="X17" i="45"/>
  <c r="Y17" i="45"/>
  <c r="Z17" i="45"/>
  <c r="AA17" i="45"/>
  <c r="AB17" i="45"/>
  <c r="AC17" i="45"/>
  <c r="AD17" i="45"/>
  <c r="AE17" i="45"/>
  <c r="AF17" i="45"/>
  <c r="AG17" i="45"/>
  <c r="AH17" i="45"/>
  <c r="AI17" i="45"/>
  <c r="AJ17" i="45"/>
  <c r="AK17" i="45"/>
  <c r="AL17" i="45"/>
  <c r="AM17" i="45"/>
  <c r="AN17" i="45"/>
  <c r="AO17" i="45"/>
  <c r="AP17" i="45"/>
  <c r="AQ17" i="45"/>
  <c r="AR17" i="45"/>
  <c r="AS17" i="45"/>
  <c r="AT17" i="45"/>
  <c r="AU17" i="45"/>
  <c r="AV17" i="45"/>
  <c r="AW17" i="45"/>
  <c r="AX17" i="45"/>
  <c r="AY17" i="45"/>
  <c r="AZ17" i="45"/>
  <c r="BA17" i="45"/>
  <c r="BB17" i="45"/>
  <c r="F18" i="45"/>
  <c r="G18" i="45"/>
  <c r="H18" i="45"/>
  <c r="I18" i="45"/>
  <c r="J18" i="45"/>
  <c r="K18" i="45"/>
  <c r="L18" i="45"/>
  <c r="M18" i="45"/>
  <c r="N18" i="45"/>
  <c r="O18" i="45"/>
  <c r="P18" i="45"/>
  <c r="Q18" i="45"/>
  <c r="R18" i="45"/>
  <c r="S18" i="45"/>
  <c r="T18" i="45"/>
  <c r="U18" i="45"/>
  <c r="V18" i="45"/>
  <c r="W18" i="45"/>
  <c r="X18" i="45"/>
  <c r="Y18" i="45"/>
  <c r="Z18" i="45"/>
  <c r="AA18" i="45"/>
  <c r="AB18" i="45"/>
  <c r="AC18" i="45"/>
  <c r="AD18" i="45"/>
  <c r="AE18" i="45"/>
  <c r="AF18" i="45"/>
  <c r="AG18" i="45"/>
  <c r="AH18" i="45"/>
  <c r="AI18" i="45"/>
  <c r="AJ18" i="45"/>
  <c r="AK18" i="45"/>
  <c r="AL18" i="45"/>
  <c r="AM18" i="45"/>
  <c r="AN18" i="45"/>
  <c r="AO18" i="45"/>
  <c r="AP18" i="45"/>
  <c r="AQ18" i="45"/>
  <c r="AR18" i="45"/>
  <c r="AS18" i="45"/>
  <c r="AT18" i="45"/>
  <c r="AU18" i="45"/>
  <c r="AV18" i="45"/>
  <c r="AW18" i="45"/>
  <c r="AX18" i="45"/>
  <c r="AY18" i="45"/>
  <c r="AZ18" i="45"/>
  <c r="BA18" i="45"/>
  <c r="BB18" i="45"/>
  <c r="F19" i="45"/>
  <c r="G19" i="45"/>
  <c r="H19" i="45"/>
  <c r="I19" i="45"/>
  <c r="J19" i="45"/>
  <c r="K19" i="45"/>
  <c r="L19" i="45"/>
  <c r="M19" i="45"/>
  <c r="N19" i="45"/>
  <c r="O19" i="45"/>
  <c r="P19" i="45"/>
  <c r="Q19" i="45"/>
  <c r="R19" i="45"/>
  <c r="S19" i="45"/>
  <c r="T19" i="45"/>
  <c r="U19" i="45"/>
  <c r="V19" i="45"/>
  <c r="W19" i="45"/>
  <c r="X19" i="45"/>
  <c r="Y19" i="45"/>
  <c r="Z19" i="45"/>
  <c r="AA19" i="45"/>
  <c r="AB19" i="45"/>
  <c r="AC19" i="45"/>
  <c r="AD19" i="45"/>
  <c r="AE19" i="45"/>
  <c r="AF19" i="45"/>
  <c r="AG19" i="45"/>
  <c r="AH19" i="45"/>
  <c r="AI19" i="45"/>
  <c r="AJ19" i="45"/>
  <c r="AK19" i="45"/>
  <c r="AL19" i="45"/>
  <c r="AM19" i="45"/>
  <c r="AN19" i="45"/>
  <c r="AO19" i="45"/>
  <c r="AP19" i="45"/>
  <c r="AQ19" i="45"/>
  <c r="AR19" i="45"/>
  <c r="AS19" i="45"/>
  <c r="AT19" i="45"/>
  <c r="AU19" i="45"/>
  <c r="AV19" i="45"/>
  <c r="AW19" i="45"/>
  <c r="AX19" i="45"/>
  <c r="AY19" i="45"/>
  <c r="AZ19" i="45"/>
  <c r="BA19" i="45"/>
  <c r="BB19" i="45"/>
  <c r="F23" i="45"/>
  <c r="G23" i="45"/>
  <c r="H23" i="45"/>
  <c r="I23" i="45"/>
  <c r="J23" i="45"/>
  <c r="K23" i="45"/>
  <c r="L23" i="45"/>
  <c r="M23" i="45"/>
  <c r="N23" i="45"/>
  <c r="O23" i="45"/>
  <c r="P23" i="45"/>
  <c r="Q23" i="45"/>
  <c r="R23" i="45"/>
  <c r="S23" i="45"/>
  <c r="T23" i="45"/>
  <c r="U23" i="45"/>
  <c r="V23" i="45"/>
  <c r="W23" i="45"/>
  <c r="X23" i="45"/>
  <c r="Y23" i="45"/>
  <c r="Z23" i="45"/>
  <c r="AA23" i="45"/>
  <c r="AB23" i="45"/>
  <c r="AC23" i="45"/>
  <c r="AD23" i="45"/>
  <c r="AE23" i="45"/>
  <c r="AF23" i="45"/>
  <c r="AG23" i="45"/>
  <c r="AH23" i="45"/>
  <c r="AI23" i="45"/>
  <c r="AJ23" i="45"/>
  <c r="AK23" i="45"/>
  <c r="AL23" i="45"/>
  <c r="AM23" i="45"/>
  <c r="AN23" i="45"/>
  <c r="AO23" i="45"/>
  <c r="AP23" i="45"/>
  <c r="AQ23" i="45"/>
  <c r="AR23" i="45"/>
  <c r="AS23" i="45"/>
  <c r="AT23" i="45"/>
  <c r="AU23" i="45"/>
  <c r="AV23" i="45"/>
  <c r="AW23" i="45"/>
  <c r="AX23" i="45"/>
  <c r="AY23" i="45"/>
  <c r="AZ23" i="45"/>
  <c r="BA23" i="45"/>
  <c r="BB23" i="45"/>
  <c r="F24" i="45"/>
  <c r="G24" i="45"/>
  <c r="H24" i="45"/>
  <c r="I24" i="45"/>
  <c r="J24" i="45"/>
  <c r="K24" i="45"/>
  <c r="L24" i="45"/>
  <c r="M24" i="45"/>
  <c r="N24" i="45"/>
  <c r="O24" i="45"/>
  <c r="P24" i="45"/>
  <c r="Q24" i="45"/>
  <c r="R24" i="45"/>
  <c r="S24" i="45"/>
  <c r="T24" i="45"/>
  <c r="U24" i="45"/>
  <c r="V24" i="45"/>
  <c r="W24" i="45"/>
  <c r="X24" i="45"/>
  <c r="Y24" i="45"/>
  <c r="Z24" i="45"/>
  <c r="AA24" i="45"/>
  <c r="AB24" i="45"/>
  <c r="AC24" i="45"/>
  <c r="AD24" i="45"/>
  <c r="AE24" i="45"/>
  <c r="AF24" i="45"/>
  <c r="AG24" i="45"/>
  <c r="AH24" i="45"/>
  <c r="AI24" i="45"/>
  <c r="AJ24" i="45"/>
  <c r="AK24" i="45"/>
  <c r="AL24" i="45"/>
  <c r="AM24" i="45"/>
  <c r="AN24" i="45"/>
  <c r="AO24" i="45"/>
  <c r="AP24" i="45"/>
  <c r="AQ24" i="45"/>
  <c r="AR24" i="45"/>
  <c r="AS24" i="45"/>
  <c r="AT24" i="45"/>
  <c r="AU24" i="45"/>
  <c r="AV24" i="45"/>
  <c r="AW24" i="45"/>
  <c r="AX24" i="45"/>
  <c r="AY24" i="45"/>
  <c r="AZ24" i="45"/>
  <c r="BA24" i="45"/>
  <c r="BB24" i="45"/>
  <c r="F31" i="45"/>
  <c r="G31" i="45"/>
  <c r="H31" i="45"/>
  <c r="I31" i="45"/>
  <c r="J31" i="45"/>
  <c r="K31" i="45"/>
  <c r="L31" i="45"/>
  <c r="M31" i="45"/>
  <c r="N31" i="45"/>
  <c r="O31" i="45"/>
  <c r="P31" i="45"/>
  <c r="Q31" i="45"/>
  <c r="R31" i="45"/>
  <c r="S31" i="45"/>
  <c r="T31" i="45"/>
  <c r="U31" i="45"/>
  <c r="V31" i="45"/>
  <c r="W31" i="45"/>
  <c r="X31" i="45"/>
  <c r="Y31" i="45"/>
  <c r="Z31" i="45"/>
  <c r="AA31" i="45"/>
  <c r="AB31" i="45"/>
  <c r="AC31" i="45"/>
  <c r="AD31" i="45"/>
  <c r="AE31" i="45"/>
  <c r="AF31" i="45"/>
  <c r="AG31" i="45"/>
  <c r="AH31" i="45"/>
  <c r="AI31" i="45"/>
  <c r="AJ31" i="45"/>
  <c r="AK31" i="45"/>
  <c r="AL31" i="45"/>
  <c r="AM31" i="45"/>
  <c r="AN31" i="45"/>
  <c r="AO31" i="45"/>
  <c r="AP31" i="45"/>
  <c r="AQ31" i="45"/>
  <c r="AR31" i="45"/>
  <c r="AS31" i="45"/>
  <c r="AT31" i="45"/>
  <c r="AU31" i="45"/>
  <c r="AV31" i="45"/>
  <c r="AW31" i="45"/>
  <c r="AX31" i="45"/>
  <c r="AY31" i="45"/>
  <c r="AZ31" i="45"/>
  <c r="BA31" i="45"/>
  <c r="BB31" i="45"/>
  <c r="E13" i="45"/>
  <c r="E15" i="45"/>
  <c r="E16" i="45"/>
  <c r="E17" i="45"/>
  <c r="E18" i="45"/>
  <c r="E19" i="45"/>
  <c r="E23" i="45"/>
  <c r="E24" i="45"/>
  <c r="E31" i="45"/>
  <c r="BB44" i="45"/>
  <c r="BA44" i="45"/>
  <c r="AZ44" i="45"/>
  <c r="AY44" i="45"/>
  <c r="AX44" i="45"/>
  <c r="AW44" i="45"/>
  <c r="AV44" i="45"/>
  <c r="AU44" i="45"/>
  <c r="AT44" i="45"/>
  <c r="AS44" i="45"/>
  <c r="AR44" i="45"/>
  <c r="AQ44" i="45"/>
  <c r="AP44" i="45"/>
  <c r="AO44" i="45"/>
  <c r="AN44" i="45"/>
  <c r="AM44" i="45"/>
  <c r="AL44" i="45"/>
  <c r="AK44" i="45"/>
  <c r="AJ44" i="45"/>
  <c r="AI44" i="45"/>
  <c r="AH44" i="45"/>
  <c r="AG44" i="45"/>
  <c r="AF44" i="45"/>
  <c r="AE44" i="45"/>
  <c r="AD44" i="45"/>
  <c r="AC44" i="45"/>
  <c r="AB44" i="45"/>
  <c r="AA44" i="45"/>
  <c r="Z44" i="45"/>
  <c r="Y44" i="45"/>
  <c r="X44" i="45"/>
  <c r="W44" i="45"/>
  <c r="V44" i="45"/>
  <c r="U44" i="45"/>
  <c r="T44" i="45"/>
  <c r="S44" i="45"/>
  <c r="R44" i="45"/>
  <c r="Q44" i="45"/>
  <c r="P44" i="45"/>
  <c r="O44" i="45"/>
  <c r="N44" i="45"/>
  <c r="M44" i="45"/>
  <c r="L44" i="45"/>
  <c r="K44" i="45"/>
  <c r="J44" i="45"/>
  <c r="I44" i="45"/>
  <c r="H44" i="45"/>
  <c r="G44" i="45"/>
  <c r="F44" i="45"/>
  <c r="E44" i="45"/>
  <c r="BB38" i="45"/>
  <c r="E38" i="45"/>
  <c r="F38" i="45"/>
  <c r="G38" i="45"/>
  <c r="H38" i="45"/>
  <c r="I38" i="45"/>
  <c r="J38" i="45"/>
  <c r="K38" i="45"/>
  <c r="L38" i="45"/>
  <c r="M38" i="45"/>
  <c r="N38" i="45"/>
  <c r="O38" i="45"/>
  <c r="P38" i="45"/>
  <c r="Q38" i="45"/>
  <c r="R38" i="45"/>
  <c r="S38" i="45"/>
  <c r="T38" i="45"/>
  <c r="U38" i="45"/>
  <c r="V38" i="45"/>
  <c r="W38" i="45"/>
  <c r="X38" i="45"/>
  <c r="Y38" i="45"/>
  <c r="Z38" i="45"/>
  <c r="AA38" i="45"/>
  <c r="AB38" i="45"/>
  <c r="AC38" i="45"/>
  <c r="AD38" i="45"/>
  <c r="AE38" i="45"/>
  <c r="AF38" i="45"/>
  <c r="AG38" i="45"/>
  <c r="AH38" i="45"/>
  <c r="AI38" i="45"/>
  <c r="AJ38" i="45"/>
  <c r="AK38" i="45"/>
  <c r="AL38" i="45"/>
  <c r="AM38" i="45"/>
  <c r="AN38" i="45"/>
  <c r="AO38" i="45"/>
  <c r="AP38" i="45"/>
  <c r="AQ38" i="45"/>
  <c r="AR38" i="45"/>
  <c r="AS38" i="45"/>
  <c r="AT38" i="45"/>
  <c r="AU38" i="45"/>
  <c r="AV38" i="45"/>
  <c r="AW38" i="45"/>
  <c r="AX38" i="45"/>
  <c r="AY38" i="45"/>
  <c r="AZ38" i="45"/>
  <c r="BA38" i="45"/>
  <c r="BB39" i="45"/>
  <c r="BA39" i="45"/>
  <c r="AZ39" i="45"/>
  <c r="AY39" i="45"/>
  <c r="AX39" i="45"/>
  <c r="AW39" i="45"/>
  <c r="AV39" i="45"/>
  <c r="AU39" i="45"/>
  <c r="AT39" i="45"/>
  <c r="AS39" i="45"/>
  <c r="AR39" i="45"/>
  <c r="AQ39" i="45"/>
  <c r="AP39" i="45"/>
  <c r="AO39" i="45"/>
  <c r="AN39" i="45"/>
  <c r="AM39" i="45"/>
  <c r="AL39" i="45"/>
  <c r="AK39" i="45"/>
  <c r="AJ39" i="45"/>
  <c r="AI39" i="45"/>
  <c r="AH39" i="45"/>
  <c r="AG39" i="45"/>
  <c r="AF39" i="45"/>
  <c r="AE39" i="45"/>
  <c r="AD39" i="45"/>
  <c r="AC39" i="45"/>
  <c r="AB39" i="45"/>
  <c r="AA39" i="45"/>
  <c r="Z39" i="45"/>
  <c r="Y39" i="45"/>
  <c r="X39" i="45"/>
  <c r="W39" i="45"/>
  <c r="V39" i="45"/>
  <c r="U39" i="45"/>
  <c r="T39" i="45"/>
  <c r="S39" i="45"/>
  <c r="R39" i="45"/>
  <c r="Q39" i="45"/>
  <c r="P39" i="45"/>
  <c r="O39" i="45"/>
  <c r="N39" i="45"/>
  <c r="M39" i="45"/>
  <c r="L39" i="45"/>
  <c r="K39" i="45"/>
  <c r="J39" i="45"/>
  <c r="I39" i="45"/>
  <c r="H39" i="45"/>
  <c r="G39" i="45"/>
  <c r="F39" i="45"/>
  <c r="E39" i="45"/>
  <c r="D38" i="45"/>
  <c r="BC38" i="45"/>
  <c r="E37" i="45"/>
  <c r="F37" i="45"/>
  <c r="G37" i="45"/>
  <c r="H37" i="45"/>
  <c r="I37" i="45"/>
  <c r="J37" i="45"/>
  <c r="K37" i="45"/>
  <c r="L37" i="45"/>
  <c r="M37" i="45"/>
  <c r="N37" i="45"/>
  <c r="O37" i="45"/>
  <c r="P37" i="45"/>
  <c r="Q37" i="45"/>
  <c r="R37" i="45"/>
  <c r="S37" i="45"/>
  <c r="T37" i="45"/>
  <c r="U37" i="45"/>
  <c r="V37" i="45"/>
  <c r="W37" i="45"/>
  <c r="X37" i="45"/>
  <c r="Y37" i="45"/>
  <c r="Z37" i="45"/>
  <c r="AA37" i="45"/>
  <c r="AB37" i="45"/>
  <c r="AC37" i="45"/>
  <c r="AD37" i="45"/>
  <c r="AE37" i="45"/>
  <c r="AF37" i="45"/>
  <c r="AG37" i="45"/>
  <c r="AH37" i="45"/>
  <c r="AI37" i="45"/>
  <c r="AJ37" i="45"/>
  <c r="AK37" i="45"/>
  <c r="AL37" i="45"/>
  <c r="AM37" i="45"/>
  <c r="AN37" i="45"/>
  <c r="AO37" i="45"/>
  <c r="AP37" i="45"/>
  <c r="AQ37" i="45"/>
  <c r="AR37" i="45"/>
  <c r="AS37" i="45"/>
  <c r="AT37" i="45"/>
  <c r="AU37" i="45"/>
  <c r="AV37" i="45"/>
  <c r="AW37" i="45"/>
  <c r="AX37" i="45"/>
  <c r="AY37" i="45"/>
  <c r="AZ37" i="45"/>
  <c r="BA37" i="45"/>
  <c r="BB37" i="45"/>
  <c r="BC37" i="45"/>
  <c r="D37" i="45"/>
  <c r="BC36" i="45"/>
  <c r="E35" i="45"/>
  <c r="F35" i="45"/>
  <c r="G35" i="45"/>
  <c r="H35" i="45"/>
  <c r="I35" i="45"/>
  <c r="J35" i="45"/>
  <c r="K35" i="45"/>
  <c r="L35" i="45"/>
  <c r="M35" i="45"/>
  <c r="N35" i="45"/>
  <c r="O35" i="45"/>
  <c r="P35" i="45"/>
  <c r="Q35" i="45"/>
  <c r="R35" i="45"/>
  <c r="S35" i="45"/>
  <c r="T35" i="45"/>
  <c r="U35" i="45"/>
  <c r="V35" i="45"/>
  <c r="W35" i="45"/>
  <c r="X35" i="45"/>
  <c r="Y35" i="45"/>
  <c r="Z35" i="45"/>
  <c r="AA35" i="45"/>
  <c r="AB35" i="45"/>
  <c r="AC35" i="45"/>
  <c r="AD35" i="45"/>
  <c r="AE35" i="45"/>
  <c r="AF35" i="45"/>
  <c r="AG35" i="45"/>
  <c r="AH35" i="45"/>
  <c r="AI35" i="45"/>
  <c r="AJ35" i="45"/>
  <c r="AK35" i="45"/>
  <c r="AL35" i="45"/>
  <c r="AM35" i="45"/>
  <c r="AN35" i="45"/>
  <c r="AO35" i="45"/>
  <c r="AP35" i="45"/>
  <c r="AQ35" i="45"/>
  <c r="AR35" i="45"/>
  <c r="AS35" i="45"/>
  <c r="AT35" i="45"/>
  <c r="AU35" i="45"/>
  <c r="AV35" i="45"/>
  <c r="AW35" i="45"/>
  <c r="AX35" i="45"/>
  <c r="AY35" i="45"/>
  <c r="AZ35" i="45"/>
  <c r="BA35" i="45"/>
  <c r="BB35" i="45"/>
  <c r="BC35" i="45"/>
  <c r="D35" i="45"/>
  <c r="BC34" i="45"/>
  <c r="D40" i="45"/>
  <c r="BB27" i="45"/>
  <c r="BB30" i="45"/>
  <c r="F20" i="45"/>
  <c r="G20" i="45"/>
  <c r="H20" i="45"/>
  <c r="I20" i="45"/>
  <c r="J20" i="45"/>
  <c r="K20" i="45"/>
  <c r="L20" i="45"/>
  <c r="M20" i="45"/>
  <c r="N20" i="45"/>
  <c r="O20" i="45"/>
  <c r="P20" i="45"/>
  <c r="Q20" i="45"/>
  <c r="R20" i="45"/>
  <c r="S20" i="45"/>
  <c r="T20" i="45"/>
  <c r="U20" i="45"/>
  <c r="V20" i="45"/>
  <c r="W20" i="45"/>
  <c r="X20" i="45"/>
  <c r="Y20" i="45"/>
  <c r="Z20" i="45"/>
  <c r="AA20" i="45"/>
  <c r="AB20" i="45"/>
  <c r="AC20" i="45"/>
  <c r="AD20" i="45"/>
  <c r="AE20" i="45"/>
  <c r="AF20" i="45"/>
  <c r="AG20" i="45"/>
  <c r="AH20" i="45"/>
  <c r="AI20" i="45"/>
  <c r="AJ20" i="45"/>
  <c r="AK20" i="45"/>
  <c r="AL20" i="45"/>
  <c r="AM20" i="45"/>
  <c r="AN20" i="45"/>
  <c r="AO20" i="45"/>
  <c r="AP20" i="45"/>
  <c r="AQ20" i="45"/>
  <c r="AR20" i="45"/>
  <c r="AS20" i="45"/>
  <c r="AT20" i="45"/>
  <c r="AU20" i="45"/>
  <c r="AV20" i="45"/>
  <c r="AW20" i="45"/>
  <c r="AX20" i="45"/>
  <c r="AY20" i="45"/>
  <c r="AZ20" i="45"/>
  <c r="BA20" i="45"/>
  <c r="BB20" i="45"/>
  <c r="F25" i="45"/>
  <c r="G25" i="45"/>
  <c r="H25" i="45"/>
  <c r="I25" i="45"/>
  <c r="J25" i="45"/>
  <c r="K25" i="45"/>
  <c r="L25" i="45"/>
  <c r="M25" i="45"/>
  <c r="N25" i="45"/>
  <c r="O25" i="45"/>
  <c r="P25" i="45"/>
  <c r="Q25" i="45"/>
  <c r="R25" i="45"/>
  <c r="S25" i="45"/>
  <c r="T25" i="45"/>
  <c r="U25" i="45"/>
  <c r="V25" i="45"/>
  <c r="W25" i="45"/>
  <c r="X25" i="45"/>
  <c r="Y25" i="45"/>
  <c r="Z25" i="45"/>
  <c r="AA25" i="45"/>
  <c r="AB25" i="45"/>
  <c r="AC25" i="45"/>
  <c r="AD25" i="45"/>
  <c r="AE25" i="45"/>
  <c r="AF25" i="45"/>
  <c r="AG25" i="45"/>
  <c r="AH25" i="45"/>
  <c r="AI25" i="45"/>
  <c r="AJ25" i="45"/>
  <c r="AK25" i="45"/>
  <c r="AL25" i="45"/>
  <c r="AM25" i="45"/>
  <c r="AN25" i="45"/>
  <c r="AO25" i="45"/>
  <c r="AP25" i="45"/>
  <c r="AQ25" i="45"/>
  <c r="AR25" i="45"/>
  <c r="AS25" i="45"/>
  <c r="AT25" i="45"/>
  <c r="AU25" i="45"/>
  <c r="AV25" i="45"/>
  <c r="AW25" i="45"/>
  <c r="AX25" i="45"/>
  <c r="AY25" i="45"/>
  <c r="AZ25" i="45"/>
  <c r="BA25" i="45"/>
  <c r="BB25" i="45"/>
  <c r="E20" i="45"/>
  <c r="E25" i="45"/>
  <c r="E27" i="45"/>
  <c r="E30" i="45"/>
  <c r="F27" i="45"/>
  <c r="F30" i="45"/>
  <c r="G27" i="45"/>
  <c r="G30" i="45"/>
  <c r="H27" i="45"/>
  <c r="H30" i="45"/>
  <c r="I27" i="45"/>
  <c r="I30" i="45"/>
  <c r="J27" i="45"/>
  <c r="J30" i="45"/>
  <c r="K27" i="45"/>
  <c r="K30" i="45"/>
  <c r="L27" i="45"/>
  <c r="L30" i="45"/>
  <c r="M27" i="45"/>
  <c r="M30" i="45"/>
  <c r="N27" i="45"/>
  <c r="N30" i="45"/>
  <c r="O27" i="45"/>
  <c r="O30" i="45"/>
  <c r="P27" i="45"/>
  <c r="P30" i="45"/>
  <c r="Q27" i="45"/>
  <c r="Q30" i="45"/>
  <c r="R27" i="45"/>
  <c r="R30" i="45"/>
  <c r="S27" i="45"/>
  <c r="S30" i="45"/>
  <c r="T27" i="45"/>
  <c r="T30" i="45"/>
  <c r="U27" i="45"/>
  <c r="U30" i="45"/>
  <c r="V27" i="45"/>
  <c r="V30" i="45"/>
  <c r="W27" i="45"/>
  <c r="W30" i="45"/>
  <c r="X27" i="45"/>
  <c r="X30" i="45"/>
  <c r="Y27" i="45"/>
  <c r="Y30" i="45"/>
  <c r="Z27" i="45"/>
  <c r="Z30" i="45"/>
  <c r="AA27" i="45"/>
  <c r="AA30" i="45"/>
  <c r="AB27" i="45"/>
  <c r="AB30" i="45"/>
  <c r="AC27" i="45"/>
  <c r="AC30" i="45"/>
  <c r="AD27" i="45"/>
  <c r="AD30" i="45"/>
  <c r="AE27" i="45"/>
  <c r="AE30" i="45"/>
  <c r="AF27" i="45"/>
  <c r="AF30" i="45"/>
  <c r="AG27" i="45"/>
  <c r="AG30" i="45"/>
  <c r="AH27" i="45"/>
  <c r="AH30" i="45"/>
  <c r="AI27" i="45"/>
  <c r="AI30" i="45"/>
  <c r="AJ27" i="45"/>
  <c r="AJ30" i="45"/>
  <c r="AK27" i="45"/>
  <c r="AK30" i="45"/>
  <c r="AL27" i="45"/>
  <c r="AL30" i="45"/>
  <c r="AM27" i="45"/>
  <c r="AM30" i="45"/>
  <c r="AN27" i="45"/>
  <c r="AN30" i="45"/>
  <c r="AO27" i="45"/>
  <c r="AO30" i="45"/>
  <c r="AP27" i="45"/>
  <c r="AP30" i="45"/>
  <c r="AQ27" i="45"/>
  <c r="AQ30" i="45"/>
  <c r="AR27" i="45"/>
  <c r="AR30" i="45"/>
  <c r="AS27" i="45"/>
  <c r="AS30" i="45"/>
  <c r="AT27" i="45"/>
  <c r="AT30" i="45"/>
  <c r="AU27" i="45"/>
  <c r="AU30" i="45"/>
  <c r="AV27" i="45"/>
  <c r="AV30" i="45"/>
  <c r="AW27" i="45"/>
  <c r="AW30" i="45"/>
  <c r="AX27" i="45"/>
  <c r="AX30" i="45"/>
  <c r="AY27" i="45"/>
  <c r="AY30" i="45"/>
  <c r="AZ27" i="45"/>
  <c r="AZ30" i="45"/>
  <c r="BA27" i="45"/>
  <c r="BA30" i="45"/>
  <c r="E14" i="45"/>
  <c r="G14" i="45"/>
  <c r="H14" i="45"/>
  <c r="I14" i="45"/>
  <c r="J14" i="45"/>
  <c r="K14" i="45"/>
  <c r="L14" i="45"/>
  <c r="M14" i="45"/>
  <c r="N14" i="45"/>
  <c r="Q14" i="45"/>
  <c r="R14" i="45"/>
  <c r="T14" i="45"/>
  <c r="U14" i="45"/>
  <c r="V14" i="45"/>
  <c r="W14" i="45"/>
  <c r="X14" i="45"/>
  <c r="Y14" i="45"/>
  <c r="Z14" i="45"/>
  <c r="AA14" i="45"/>
  <c r="AB14" i="45"/>
  <c r="AC14" i="45"/>
  <c r="AF14" i="45"/>
  <c r="AG14" i="45"/>
  <c r="AH14" i="45"/>
  <c r="AI14" i="45"/>
  <c r="AJ14" i="45"/>
  <c r="AK14" i="45"/>
  <c r="AM14" i="45"/>
  <c r="AN14" i="45"/>
  <c r="AO14" i="45"/>
  <c r="AP14" i="45"/>
  <c r="AQ14" i="45"/>
  <c r="AR14" i="45"/>
  <c r="AT14" i="45"/>
  <c r="AU14" i="45"/>
  <c r="AV14" i="45"/>
  <c r="AW14" i="45"/>
  <c r="AX14" i="45"/>
  <c r="AZ14" i="45"/>
  <c r="BA14" i="45"/>
  <c r="BB14" i="45"/>
  <c r="BB22" i="45"/>
  <c r="BA22" i="45"/>
  <c r="AZ22" i="45"/>
  <c r="AX22" i="45"/>
  <c r="AW22" i="45"/>
  <c r="AV22" i="45"/>
  <c r="AU22" i="45"/>
  <c r="AT22" i="45"/>
  <c r="AR22" i="45"/>
  <c r="AQ22" i="45"/>
  <c r="AP22" i="45"/>
  <c r="AO22" i="45"/>
  <c r="AN22" i="45"/>
  <c r="AM22" i="45"/>
  <c r="AK22" i="45"/>
  <c r="AJ22" i="45"/>
  <c r="AI22" i="45"/>
  <c r="AH22" i="45"/>
  <c r="AG22" i="45"/>
  <c r="AF22" i="45"/>
  <c r="AC22" i="45"/>
  <c r="AB22" i="45"/>
  <c r="AA22" i="45"/>
  <c r="Z22" i="45"/>
  <c r="Y22" i="45"/>
  <c r="X22" i="45"/>
  <c r="W22" i="45"/>
  <c r="V22" i="45"/>
  <c r="U22" i="45"/>
  <c r="T22" i="45"/>
  <c r="R22" i="45"/>
  <c r="Q22" i="45"/>
  <c r="N22" i="45"/>
  <c r="M22" i="45"/>
  <c r="L22" i="45"/>
  <c r="K22" i="45"/>
  <c r="J22" i="45"/>
  <c r="I22" i="45"/>
  <c r="H22" i="45"/>
  <c r="G22" i="45"/>
  <c r="E22" i="45"/>
  <c r="AY22" i="45"/>
  <c r="AS22" i="45"/>
  <c r="AL22" i="45"/>
  <c r="AE22" i="45"/>
  <c r="AD22" i="45"/>
  <c r="S22" i="45"/>
  <c r="P22" i="45"/>
  <c r="O22" i="45"/>
  <c r="F22" i="45"/>
  <c r="E26" i="45"/>
  <c r="F26" i="45"/>
  <c r="G26" i="45"/>
  <c r="H26" i="45"/>
  <c r="I26" i="45"/>
  <c r="J26" i="45"/>
  <c r="K26" i="45"/>
  <c r="L26" i="45"/>
  <c r="M26" i="45"/>
  <c r="N26" i="45"/>
  <c r="O26" i="45"/>
  <c r="P26" i="45"/>
  <c r="Q26" i="45"/>
  <c r="R26" i="45"/>
  <c r="S26" i="45"/>
  <c r="T26" i="45"/>
  <c r="U26" i="45"/>
  <c r="V26" i="45"/>
  <c r="W26" i="45"/>
  <c r="X26" i="45"/>
  <c r="Y26" i="45"/>
  <c r="Z26" i="45"/>
  <c r="AA26" i="45"/>
  <c r="AB26" i="45"/>
  <c r="AC26" i="45"/>
  <c r="AD26" i="45"/>
  <c r="AE26" i="45"/>
  <c r="AF26" i="45"/>
  <c r="AG26" i="45"/>
  <c r="AH26" i="45"/>
  <c r="AI26" i="45"/>
  <c r="AJ26" i="45"/>
  <c r="AK26" i="45"/>
  <c r="AL26" i="45"/>
  <c r="AM26" i="45"/>
  <c r="AN26" i="45"/>
  <c r="AO26" i="45"/>
  <c r="AP26" i="45"/>
  <c r="AQ26" i="45"/>
  <c r="AR26" i="45"/>
  <c r="AS26" i="45"/>
  <c r="AT26" i="45"/>
  <c r="AU26" i="45"/>
  <c r="AV26" i="45"/>
  <c r="AW26" i="45"/>
  <c r="AX26" i="45"/>
  <c r="AY26" i="45"/>
  <c r="AZ26" i="45"/>
  <c r="BA26" i="45"/>
  <c r="BB26" i="45"/>
  <c r="BB28" i="45"/>
  <c r="BA28" i="45"/>
  <c r="AZ28" i="45"/>
  <c r="AX28" i="45"/>
  <c r="AW28" i="45"/>
  <c r="AV28" i="45"/>
  <c r="AU28" i="45"/>
  <c r="AT28" i="45"/>
  <c r="AR28" i="45"/>
  <c r="AQ28" i="45"/>
  <c r="AP28" i="45"/>
  <c r="AO28" i="45"/>
  <c r="AN28" i="45"/>
  <c r="AM28" i="45"/>
  <c r="AK28" i="45"/>
  <c r="AJ28" i="45"/>
  <c r="AI28" i="45"/>
  <c r="AH28" i="45"/>
  <c r="AG28" i="45"/>
  <c r="AF28" i="45"/>
  <c r="AC28" i="45"/>
  <c r="AB28" i="45"/>
  <c r="AA28" i="45"/>
  <c r="Z28" i="45"/>
  <c r="Y28" i="45"/>
  <c r="X28" i="45"/>
  <c r="W28" i="45"/>
  <c r="V28" i="45"/>
  <c r="U28" i="45"/>
  <c r="T28" i="45"/>
  <c r="R28" i="45"/>
  <c r="Q28" i="45"/>
  <c r="N28" i="45"/>
  <c r="M28" i="45"/>
  <c r="L28" i="45"/>
  <c r="K28" i="45"/>
  <c r="J28" i="45"/>
  <c r="I28" i="45"/>
  <c r="H28" i="45"/>
  <c r="G28" i="45"/>
  <c r="E28" i="45"/>
  <c r="AY28" i="45"/>
  <c r="AS28" i="45"/>
  <c r="AL28" i="45"/>
  <c r="AE28" i="45"/>
  <c r="AD28" i="45"/>
  <c r="S28" i="45"/>
  <c r="P28" i="45"/>
  <c r="O28" i="45"/>
  <c r="F28" i="45"/>
  <c r="D41" i="45"/>
  <c r="E29" i="45"/>
  <c r="E41" i="45"/>
  <c r="F29" i="45"/>
  <c r="F41" i="45"/>
  <c r="G29" i="45"/>
  <c r="G41" i="45"/>
  <c r="H29" i="45"/>
  <c r="H41" i="45"/>
  <c r="I29" i="45"/>
  <c r="I41" i="45"/>
  <c r="J29" i="45"/>
  <c r="J41" i="45"/>
  <c r="K29" i="45"/>
  <c r="K41" i="45"/>
  <c r="L29" i="45"/>
  <c r="L41" i="45"/>
  <c r="M29" i="45"/>
  <c r="M41" i="45"/>
  <c r="N29" i="45"/>
  <c r="N41" i="45"/>
  <c r="O29" i="45"/>
  <c r="O41" i="45"/>
  <c r="P29" i="45"/>
  <c r="P41" i="45"/>
  <c r="Q29" i="45"/>
  <c r="Q41" i="45"/>
  <c r="R29" i="45"/>
  <c r="R41" i="45"/>
  <c r="S29" i="45"/>
  <c r="S41" i="45"/>
  <c r="T29" i="45"/>
  <c r="T41" i="45"/>
  <c r="U29" i="45"/>
  <c r="U41" i="45"/>
  <c r="V29" i="45"/>
  <c r="V41" i="45"/>
  <c r="W29" i="45"/>
  <c r="W41" i="45"/>
  <c r="X29" i="45"/>
  <c r="X41" i="45"/>
  <c r="Y29" i="45"/>
  <c r="Y41" i="45"/>
  <c r="Z29" i="45"/>
  <c r="Z41" i="45"/>
  <c r="AA29" i="45"/>
  <c r="AA41" i="45"/>
  <c r="AB29" i="45"/>
  <c r="AB41" i="45"/>
  <c r="AC29" i="45"/>
  <c r="AC41" i="45"/>
  <c r="AD29" i="45"/>
  <c r="AD41" i="45"/>
  <c r="AE29" i="45"/>
  <c r="AE41" i="45"/>
  <c r="AF29" i="45"/>
  <c r="AF41" i="45"/>
  <c r="AG29" i="45"/>
  <c r="AG41" i="45"/>
  <c r="AH29" i="45"/>
  <c r="AH41" i="45"/>
  <c r="AI29" i="45"/>
  <c r="AI41" i="45"/>
  <c r="AJ29" i="45"/>
  <c r="AJ41" i="45"/>
  <c r="AK29" i="45"/>
  <c r="AK41" i="45"/>
  <c r="AL29" i="45"/>
  <c r="AL41" i="45"/>
  <c r="AM29" i="45"/>
  <c r="AM41" i="45"/>
  <c r="AN29" i="45"/>
  <c r="AN41" i="45"/>
  <c r="AO29" i="45"/>
  <c r="AO41" i="45"/>
  <c r="AP29" i="45"/>
  <c r="AP41" i="45"/>
  <c r="AQ29" i="45"/>
  <c r="AQ41" i="45"/>
  <c r="AR29" i="45"/>
  <c r="AR41" i="45"/>
  <c r="AS29" i="45"/>
  <c r="AS41" i="45"/>
  <c r="AT29" i="45"/>
  <c r="AT41" i="45"/>
  <c r="AU29" i="45"/>
  <c r="AU41" i="45"/>
  <c r="AV29" i="45"/>
  <c r="AV41" i="45"/>
  <c r="AW29" i="45"/>
  <c r="AW41" i="45"/>
  <c r="AX29" i="45"/>
  <c r="AX41" i="45"/>
  <c r="AY29" i="45"/>
  <c r="AY41" i="45"/>
  <c r="AZ29" i="45"/>
  <c r="AZ41" i="45"/>
  <c r="BA29" i="45"/>
  <c r="BA41" i="45"/>
  <c r="BB29" i="45"/>
  <c r="BB41" i="45"/>
  <c r="F6" i="45"/>
  <c r="F40" i="45"/>
  <c r="O6" i="45"/>
  <c r="O40" i="45"/>
  <c r="P6" i="45"/>
  <c r="P40" i="45"/>
  <c r="S6" i="45"/>
  <c r="S40" i="45"/>
  <c r="AD6" i="45"/>
  <c r="AD40" i="45"/>
  <c r="AE6" i="45"/>
  <c r="AE40" i="45"/>
  <c r="AL6" i="45"/>
  <c r="AL40" i="45"/>
  <c r="AS6" i="45"/>
  <c r="AS40" i="45"/>
  <c r="AY6" i="45"/>
  <c r="AY40" i="45"/>
  <c r="E6" i="45"/>
  <c r="E40" i="45"/>
  <c r="G6" i="45"/>
  <c r="G40" i="45"/>
  <c r="H6" i="45"/>
  <c r="H40" i="45"/>
  <c r="I6" i="45"/>
  <c r="I40" i="45"/>
  <c r="J6" i="45"/>
  <c r="J40" i="45"/>
  <c r="K6" i="45"/>
  <c r="K40" i="45"/>
  <c r="L6" i="45"/>
  <c r="L40" i="45"/>
  <c r="M6" i="45"/>
  <c r="M40" i="45"/>
  <c r="N6" i="45"/>
  <c r="N40" i="45"/>
  <c r="Q6" i="45"/>
  <c r="Q40" i="45"/>
  <c r="R6" i="45"/>
  <c r="R40" i="45"/>
  <c r="T6" i="45"/>
  <c r="T40" i="45"/>
  <c r="U6" i="45"/>
  <c r="U40" i="45"/>
  <c r="V6" i="45"/>
  <c r="V40" i="45"/>
  <c r="W6" i="45"/>
  <c r="W40" i="45"/>
  <c r="X6" i="45"/>
  <c r="X40" i="45"/>
  <c r="Y6" i="45"/>
  <c r="Y40" i="45"/>
  <c r="Z6" i="45"/>
  <c r="Z40" i="45"/>
  <c r="AA6" i="45"/>
  <c r="AA40" i="45"/>
  <c r="AB6" i="45"/>
  <c r="AB40" i="45"/>
  <c r="AC6" i="45"/>
  <c r="AC40" i="45"/>
  <c r="AF6" i="45"/>
  <c r="AF40" i="45"/>
  <c r="AG6" i="45"/>
  <c r="AG40" i="45"/>
  <c r="AH6" i="45"/>
  <c r="AH40" i="45"/>
  <c r="AI6" i="45"/>
  <c r="AI40" i="45"/>
  <c r="AJ6" i="45"/>
  <c r="AJ40" i="45"/>
  <c r="AK6" i="45"/>
  <c r="AK40" i="45"/>
  <c r="AM6" i="45"/>
  <c r="AM40" i="45"/>
  <c r="AN6" i="45"/>
  <c r="AN40" i="45"/>
  <c r="AO6" i="45"/>
  <c r="AO40" i="45"/>
  <c r="AP6" i="45"/>
  <c r="AP40" i="45"/>
  <c r="AQ6" i="45"/>
  <c r="AQ40" i="45"/>
  <c r="AR6" i="45"/>
  <c r="AR40" i="45"/>
  <c r="AT6" i="45"/>
  <c r="AT40" i="45"/>
  <c r="AU6" i="45"/>
  <c r="AU40" i="45"/>
  <c r="AV6" i="45"/>
  <c r="AV40" i="45"/>
  <c r="AW6" i="45"/>
  <c r="AW40" i="45"/>
  <c r="AX6" i="45"/>
  <c r="AX40" i="45"/>
  <c r="AZ6" i="45"/>
  <c r="AZ40" i="45"/>
  <c r="BA6" i="45"/>
  <c r="BA40" i="45"/>
  <c r="BB6" i="45"/>
  <c r="BB40" i="45"/>
  <c r="F1" i="17"/>
  <c r="G1" i="17"/>
  <c r="H1" i="17"/>
  <c r="I1" i="17"/>
  <c r="J1" i="17"/>
  <c r="K1" i="17"/>
  <c r="L1" i="17"/>
  <c r="M1" i="17"/>
  <c r="N1" i="17"/>
  <c r="O1" i="17"/>
  <c r="P1" i="17"/>
  <c r="Q1" i="17"/>
  <c r="R1" i="17"/>
  <c r="S1" i="17"/>
  <c r="T1" i="17"/>
  <c r="U1" i="17"/>
  <c r="V1" i="17"/>
  <c r="W1" i="17"/>
  <c r="X1" i="17"/>
  <c r="Y1" i="17"/>
  <c r="Z1" i="17"/>
  <c r="AA1" i="17"/>
  <c r="AB1" i="17"/>
  <c r="AC1" i="17"/>
  <c r="AD1" i="17"/>
  <c r="AE1" i="17"/>
  <c r="AF1" i="17"/>
  <c r="AG1" i="17"/>
  <c r="AH1" i="17"/>
  <c r="AI1" i="17"/>
  <c r="AJ1" i="17"/>
  <c r="AK1" i="17"/>
  <c r="AL1" i="17"/>
  <c r="AM1" i="17"/>
  <c r="AN1" i="17"/>
  <c r="AO1" i="17"/>
  <c r="AP1" i="17"/>
  <c r="AQ1" i="17"/>
  <c r="AR1" i="17"/>
  <c r="AS1" i="17"/>
  <c r="AT1" i="17"/>
  <c r="AU1" i="17"/>
  <c r="AV1" i="17"/>
  <c r="AW1" i="17"/>
  <c r="AX1" i="17"/>
  <c r="AY1" i="17"/>
  <c r="AZ1" i="17"/>
  <c r="BA1" i="17"/>
  <c r="BB1" i="17"/>
  <c r="D14" i="46"/>
  <c r="D17" i="46"/>
  <c r="C32" i="46"/>
  <c r="C34" i="46"/>
  <c r="D26" i="46"/>
  <c r="D25" i="46"/>
  <c r="D5" i="46"/>
  <c r="D7" i="46"/>
  <c r="D9" i="46"/>
  <c r="D12" i="46"/>
  <c r="D16" i="46"/>
  <c r="D18" i="46"/>
  <c r="D27" i="46"/>
  <c r="D29" i="46"/>
  <c r="D19" i="46"/>
  <c r="D24" i="46"/>
  <c r="D13" i="46"/>
  <c r="D15" i="46"/>
  <c r="D6" i="46"/>
  <c r="D22" i="46"/>
  <c r="D23" i="46"/>
  <c r="D11" i="46"/>
  <c r="D10" i="46"/>
  <c r="F5" i="46"/>
  <c r="F6" i="46"/>
  <c r="F7" i="46"/>
  <c r="F8" i="46"/>
  <c r="F9" i="46"/>
  <c r="F10" i="46"/>
  <c r="F11" i="46"/>
  <c r="F12" i="46"/>
  <c r="F13" i="46"/>
  <c r="F14" i="46"/>
  <c r="F15" i="46"/>
  <c r="F16" i="46"/>
  <c r="F17" i="46"/>
  <c r="F18" i="46"/>
  <c r="D28" i="46"/>
  <c r="F19" i="46"/>
  <c r="F20" i="46"/>
  <c r="C33" i="46"/>
  <c r="D33" i="46"/>
  <c r="D34" i="46"/>
  <c r="D32" i="46"/>
  <c r="D8" i="46"/>
  <c r="F21" i="46"/>
  <c r="F22" i="46"/>
  <c r="F23" i="46"/>
  <c r="F24" i="46"/>
  <c r="F25" i="46"/>
  <c r="D21" i="46"/>
  <c r="D20" i="46"/>
  <c r="F26" i="46"/>
  <c r="F27" i="46"/>
  <c r="F28" i="46"/>
  <c r="F29" i="46"/>
  <c r="F1" i="16"/>
  <c r="G1" i="16"/>
  <c r="H1" i="16"/>
  <c r="I1" i="16"/>
  <c r="J1" i="16"/>
  <c r="K1" i="16"/>
  <c r="L1" i="16"/>
  <c r="M1" i="16"/>
  <c r="N1" i="16"/>
  <c r="O1" i="16"/>
  <c r="P1" i="16"/>
  <c r="Q1" i="16"/>
  <c r="R1" i="16"/>
  <c r="S1" i="16"/>
  <c r="T1" i="16"/>
  <c r="U1" i="16"/>
  <c r="V1" i="16"/>
  <c r="W1" i="16"/>
  <c r="X1" i="16"/>
  <c r="Y1" i="16"/>
  <c r="Z1" i="16"/>
  <c r="AA1" i="16"/>
  <c r="AB1" i="16"/>
  <c r="AC1" i="16"/>
  <c r="AD1" i="16"/>
  <c r="AE1" i="16"/>
  <c r="AF1" i="16"/>
  <c r="AG1" i="16"/>
  <c r="AH1" i="16"/>
  <c r="AI1" i="16"/>
  <c r="AJ1" i="16"/>
  <c r="AK1" i="16"/>
  <c r="AL1" i="16"/>
  <c r="AM1" i="16"/>
  <c r="AN1" i="16"/>
  <c r="AO1" i="16"/>
  <c r="AP1" i="16"/>
  <c r="AQ1" i="16"/>
  <c r="AR1" i="16"/>
  <c r="AS1" i="16"/>
  <c r="AT1" i="16"/>
  <c r="AU1" i="16"/>
  <c r="AV1" i="16"/>
  <c r="AW1" i="16"/>
  <c r="AX1" i="16"/>
  <c r="AY1" i="16"/>
  <c r="AZ1" i="16"/>
  <c r="BA1" i="16"/>
  <c r="BB1" i="16"/>
  <c r="D5" i="16"/>
  <c r="E1" i="33"/>
  <c r="F1" i="33"/>
  <c r="G1" i="33"/>
  <c r="H1" i="33"/>
  <c r="I1" i="33"/>
  <c r="J1" i="33"/>
  <c r="K1" i="33"/>
  <c r="L1" i="33"/>
  <c r="M1" i="33"/>
  <c r="N1" i="33"/>
  <c r="O1" i="33"/>
  <c r="P1" i="33"/>
  <c r="Q1" i="33"/>
  <c r="R1" i="33"/>
  <c r="S1" i="33"/>
  <c r="T1" i="33"/>
  <c r="U1" i="33"/>
  <c r="V1" i="33"/>
  <c r="W1" i="33"/>
  <c r="X1" i="33"/>
  <c r="Y1" i="33"/>
  <c r="Z1" i="33"/>
  <c r="AA1" i="33"/>
  <c r="AB1" i="33"/>
  <c r="AC1" i="33"/>
  <c r="AD1" i="33"/>
  <c r="AE1" i="33"/>
  <c r="AF1" i="33"/>
  <c r="AG1" i="33"/>
  <c r="AH1" i="33"/>
  <c r="AI1" i="33"/>
  <c r="AJ1" i="33"/>
  <c r="AK1" i="33"/>
  <c r="AL1" i="33"/>
  <c r="AM1" i="33"/>
  <c r="AN1" i="33"/>
  <c r="AO1" i="33"/>
  <c r="AP1" i="33"/>
  <c r="AQ1" i="33"/>
  <c r="AR1" i="33"/>
  <c r="AS1" i="33"/>
  <c r="AT1" i="33"/>
  <c r="AU1" i="33"/>
  <c r="AV1" i="33"/>
  <c r="AW1" i="33"/>
  <c r="AX1" i="33"/>
  <c r="AY1" i="33"/>
  <c r="AZ1" i="33"/>
  <c r="BA1" i="33"/>
  <c r="D14" i="33"/>
  <c r="E14" i="33"/>
  <c r="F14" i="33"/>
  <c r="G14" i="33"/>
  <c r="H14" i="33"/>
  <c r="I14" i="33"/>
  <c r="J14" i="33"/>
  <c r="K14" i="33"/>
  <c r="L14" i="33"/>
  <c r="M14" i="33"/>
  <c r="N14" i="33"/>
  <c r="O14" i="33"/>
  <c r="P14" i="33"/>
  <c r="Q14" i="33"/>
  <c r="R14" i="33"/>
  <c r="S14" i="33"/>
  <c r="T14" i="33"/>
  <c r="U14" i="33"/>
  <c r="V14" i="33"/>
  <c r="W14" i="33"/>
  <c r="X14" i="33"/>
  <c r="Y14" i="33"/>
  <c r="Z14" i="33"/>
  <c r="AA14" i="33"/>
  <c r="AB14" i="33"/>
  <c r="AC14" i="33"/>
  <c r="AD14" i="33"/>
  <c r="AE14" i="33"/>
  <c r="AF14" i="33"/>
  <c r="AG14" i="33"/>
  <c r="AH14" i="33"/>
  <c r="AI14" i="33"/>
  <c r="AJ14" i="33"/>
  <c r="AK14" i="33"/>
  <c r="AL14" i="33"/>
  <c r="AM14" i="33"/>
  <c r="AN14" i="33"/>
  <c r="AO14" i="33"/>
  <c r="AP14" i="33"/>
  <c r="AQ14" i="33"/>
  <c r="AR14" i="33"/>
  <c r="AS14" i="33"/>
  <c r="AT14" i="33"/>
  <c r="AU14" i="33"/>
  <c r="AV14" i="33"/>
  <c r="AW14" i="33"/>
  <c r="AX14" i="33"/>
  <c r="AY14" i="33"/>
  <c r="AZ14" i="33"/>
  <c r="BA14" i="33"/>
  <c r="C14" i="33"/>
  <c r="C16" i="33"/>
  <c r="C15" i="33"/>
  <c r="D11" i="33"/>
  <c r="E1" i="39"/>
  <c r="F1" i="39"/>
  <c r="G1" i="39"/>
  <c r="H1" i="39"/>
  <c r="I1" i="39"/>
  <c r="J1" i="39"/>
  <c r="K1" i="39"/>
  <c r="L1" i="39"/>
  <c r="M1" i="39"/>
  <c r="N1" i="39"/>
  <c r="O1" i="39"/>
  <c r="P1" i="39"/>
  <c r="Q1" i="39"/>
  <c r="R1" i="39"/>
  <c r="S1" i="39"/>
  <c r="T1" i="39"/>
  <c r="U1" i="39"/>
  <c r="V1" i="39"/>
  <c r="W1" i="39"/>
  <c r="X1" i="39"/>
  <c r="Y1" i="39"/>
  <c r="Z1" i="39"/>
  <c r="AA1" i="39"/>
  <c r="AB1" i="39"/>
  <c r="AC1" i="39"/>
  <c r="AD1" i="39"/>
  <c r="AE1" i="39"/>
  <c r="AF1" i="39"/>
  <c r="AG1" i="39"/>
  <c r="AH1" i="39"/>
  <c r="AI1" i="39"/>
  <c r="AJ1" i="39"/>
  <c r="AK1" i="39"/>
  <c r="AL1" i="39"/>
  <c r="AM1" i="39"/>
  <c r="AN1" i="39"/>
  <c r="AO1" i="39"/>
  <c r="AP1" i="39"/>
  <c r="AQ1" i="39"/>
  <c r="AR1" i="39"/>
  <c r="AS1" i="39"/>
  <c r="AT1" i="39"/>
  <c r="AU1" i="39"/>
  <c r="AV1" i="39"/>
  <c r="AW1" i="39"/>
  <c r="AX1" i="39"/>
  <c r="AY1" i="39"/>
  <c r="AZ1" i="39"/>
  <c r="BA1" i="39"/>
  <c r="BA7" i="39"/>
  <c r="AZ7" i="39"/>
  <c r="AY7" i="39"/>
  <c r="AX7" i="39"/>
  <c r="AW7" i="39"/>
  <c r="AU7" i="39"/>
  <c r="AT7" i="39"/>
  <c r="AS7" i="39"/>
  <c r="AR7" i="39"/>
  <c r="AQ7" i="39"/>
  <c r="AP7" i="39"/>
  <c r="AO7" i="39"/>
  <c r="AN7" i="39"/>
  <c r="AM7" i="39"/>
  <c r="AL7" i="39"/>
  <c r="AK7" i="39"/>
  <c r="AJ7" i="39"/>
  <c r="AI7" i="39"/>
  <c r="AH7" i="39"/>
  <c r="AG7" i="39"/>
  <c r="AF7" i="39"/>
  <c r="AE7" i="39"/>
  <c r="AD7" i="39"/>
  <c r="AC7" i="39"/>
  <c r="AB7" i="39"/>
  <c r="AA7" i="39"/>
  <c r="Z7" i="39"/>
  <c r="Y7" i="39"/>
  <c r="X7" i="39"/>
  <c r="W7" i="39"/>
  <c r="V7" i="39"/>
  <c r="U7" i="39"/>
  <c r="T7" i="39"/>
  <c r="S7" i="39"/>
  <c r="R7" i="39"/>
  <c r="Q7" i="39"/>
  <c r="P7" i="39"/>
  <c r="O7" i="39"/>
  <c r="N7" i="39"/>
  <c r="M7" i="39"/>
  <c r="L7" i="39"/>
  <c r="K7" i="39"/>
  <c r="J7" i="39"/>
  <c r="I7" i="39"/>
  <c r="H7" i="39"/>
  <c r="G7" i="39"/>
  <c r="F7" i="39"/>
  <c r="E7" i="39"/>
  <c r="D7" i="39"/>
  <c r="BA5" i="39"/>
  <c r="AZ5" i="39"/>
  <c r="AY5" i="39"/>
  <c r="AX5" i="39"/>
  <c r="AW5" i="39"/>
  <c r="AU5" i="39"/>
  <c r="AT5" i="39"/>
  <c r="AS5" i="39"/>
  <c r="AR5" i="39"/>
  <c r="AQ5" i="39"/>
  <c r="AP5" i="39"/>
  <c r="AO5" i="39"/>
  <c r="AN5" i="39"/>
  <c r="AM5" i="39"/>
  <c r="AL5" i="39"/>
  <c r="AK5" i="39"/>
  <c r="AJ5" i="39"/>
  <c r="AI5" i="39"/>
  <c r="AH5" i="39"/>
  <c r="AG5" i="39"/>
  <c r="AF5" i="39"/>
  <c r="AE5" i="39"/>
  <c r="AD5" i="39"/>
  <c r="AC5" i="39"/>
  <c r="AB5" i="39"/>
  <c r="AA5" i="39"/>
  <c r="Z5" i="39"/>
  <c r="Y5" i="39"/>
  <c r="X5" i="39"/>
  <c r="W5" i="39"/>
  <c r="V5" i="39"/>
  <c r="U5" i="39"/>
  <c r="T5" i="39"/>
  <c r="S5" i="39"/>
  <c r="R5" i="39"/>
  <c r="Q5" i="39"/>
  <c r="P5" i="39"/>
  <c r="O5" i="39"/>
  <c r="N5" i="39"/>
  <c r="M5" i="39"/>
  <c r="L5" i="39"/>
  <c r="K5" i="39"/>
  <c r="J5" i="39"/>
  <c r="I5" i="39"/>
  <c r="H5" i="39"/>
  <c r="G5" i="39"/>
  <c r="F5" i="39"/>
  <c r="E5" i="39"/>
  <c r="D5" i="39"/>
</calcChain>
</file>

<file path=xl/comments1.xml><?xml version="1.0" encoding="utf-8"?>
<comments xmlns="http://schemas.openxmlformats.org/spreadsheetml/2006/main">
  <authors>
    <author>Microsoft Office User</author>
  </authors>
  <commentList>
    <comment ref="E8" authorId="0">
      <text>
        <r>
          <rPr>
            <b/>
            <sz val="10"/>
            <color indexed="81"/>
            <rFont val="Calibri"/>
            <family val="2"/>
          </rPr>
          <t>Microsoft Office User:</t>
        </r>
        <r>
          <rPr>
            <sz val="10"/>
            <color indexed="81"/>
            <rFont val="Calibri"/>
            <family val="2"/>
          </rPr>
          <t xml:space="preserve">
MJ: Depreciation over 15 years</t>
        </r>
      </text>
    </comment>
    <comment ref="F8" authorId="0">
      <text>
        <r>
          <rPr>
            <b/>
            <sz val="10"/>
            <color indexed="81"/>
            <rFont val="Calibri"/>
            <family val="2"/>
          </rPr>
          <t>Microsoft Office User:</t>
        </r>
        <r>
          <rPr>
            <sz val="10"/>
            <color indexed="81"/>
            <rFont val="Calibri"/>
            <family val="2"/>
          </rPr>
          <t xml:space="preserve">
MJ: Depreciation over 6 years</t>
        </r>
      </text>
    </comment>
  </commentList>
</comments>
</file>

<file path=xl/comments2.xml><?xml version="1.0" encoding="utf-8"?>
<comments xmlns="http://schemas.openxmlformats.org/spreadsheetml/2006/main">
  <authors>
    <author>Microsoft Office User</author>
  </authors>
  <commentList>
    <comment ref="C10" authorId="0">
      <text>
        <r>
          <rPr>
            <b/>
            <sz val="10"/>
            <color indexed="81"/>
            <rFont val="Calibri"/>
            <family val="2"/>
          </rPr>
          <t>Microsoft Office User:</t>
        </r>
        <r>
          <rPr>
            <sz val="10"/>
            <color indexed="81"/>
            <rFont val="Calibri"/>
            <family val="2"/>
          </rPr>
          <t xml:space="preserve">
MJ: Seems to assume that the average underemployed person is not working about 50% of the time</t>
        </r>
      </text>
    </comment>
  </commentList>
</comments>
</file>

<file path=xl/comments3.xml><?xml version="1.0" encoding="utf-8"?>
<comments xmlns="http://schemas.openxmlformats.org/spreadsheetml/2006/main">
  <authors>
    <author>Microsoft Office User</author>
  </authors>
  <commentList>
    <comment ref="G19" authorId="0">
      <text>
        <r>
          <rPr>
            <b/>
            <sz val="10"/>
            <color indexed="81"/>
            <rFont val="Calibri"/>
            <family val="2"/>
          </rPr>
          <t>Microsoft Office User:</t>
        </r>
        <r>
          <rPr>
            <sz val="10"/>
            <color indexed="81"/>
            <rFont val="Calibri"/>
            <family val="2"/>
          </rPr>
          <t xml:space="preserve">
https://www.whitehouse.gov/sites/default/files/omb/inforeg/social_cost_of_carbon_for_ria_2013_update.pdf</t>
        </r>
      </text>
    </comment>
    <comment ref="H19" authorId="0">
      <text>
        <r>
          <rPr>
            <sz val="10"/>
            <color indexed="81"/>
            <rFont val="Calibri"/>
            <family val="2"/>
          </rPr>
          <t>Source:
http://www3.epa.gov/climatechange/ghgemissions/gases.html
Divide emissions by this number to get total C</t>
        </r>
      </text>
    </comment>
    <comment ref="I19" authorId="0">
      <text>
        <r>
          <rPr>
            <sz val="10"/>
            <color indexed="81"/>
            <rFont val="Calibri"/>
            <family val="2"/>
          </rPr>
          <t xml:space="preserve">Source:
</t>
        </r>
      </text>
    </comment>
  </commentList>
</comments>
</file>

<file path=xl/comments4.xml><?xml version="1.0" encoding="utf-8"?>
<comments xmlns="http://schemas.openxmlformats.org/spreadsheetml/2006/main">
  <authors>
    <author>Microsoft Office User</author>
  </authors>
  <commentList>
    <comment ref="D8" authorId="0">
      <text>
        <r>
          <rPr>
            <b/>
            <sz val="10"/>
            <color indexed="81"/>
            <rFont val="Calibri"/>
            <family val="2"/>
          </rPr>
          <t>Microsoft Office User:</t>
        </r>
        <r>
          <rPr>
            <sz val="10"/>
            <color indexed="81"/>
            <rFont val="Calibri"/>
            <family val="2"/>
          </rPr>
          <t xml:space="preserve">
MJ: this should represent the net annual value of a college eduction (i.e. the incremental earnining minus the cost of the degree)</t>
        </r>
      </text>
    </comment>
  </commentList>
</comments>
</file>

<file path=xl/sharedStrings.xml><?xml version="1.0" encoding="utf-8"?>
<sst xmlns="http://schemas.openxmlformats.org/spreadsheetml/2006/main" count="4772" uniqueCount="1072">
  <si>
    <t>U.S. Energy Information Administration,  Retrieved from http://www.eia.gov/state/seds/archive/seds2011.pdf</t>
  </si>
  <si>
    <t>Jon</t>
  </si>
  <si>
    <r>
      <t>.</t>
    </r>
    <r>
      <rPr>
        <sz val="12"/>
        <color indexed="8"/>
        <rFont val="Calibri"/>
        <family val="2"/>
      </rPr>
      <t>Indiana</t>
    </r>
  </si>
  <si>
    <r>
      <t>.</t>
    </r>
    <r>
      <rPr>
        <sz val="12"/>
        <color indexed="8"/>
        <rFont val="Calibri"/>
        <family val="2"/>
      </rPr>
      <t>Iowa</t>
    </r>
  </si>
  <si>
    <r>
      <t>.</t>
    </r>
    <r>
      <rPr>
        <sz val="12"/>
        <color indexed="8"/>
        <rFont val="Calibri"/>
        <family val="2"/>
      </rPr>
      <t>Kansas</t>
    </r>
  </si>
  <si>
    <r>
      <t>.</t>
    </r>
    <r>
      <rPr>
        <sz val="12"/>
        <color indexed="8"/>
        <rFont val="Calibri"/>
        <family val="2"/>
      </rPr>
      <t>Kentucky</t>
    </r>
  </si>
  <si>
    <r>
      <t>.</t>
    </r>
    <r>
      <rPr>
        <sz val="12"/>
        <color indexed="8"/>
        <rFont val="Calibri"/>
        <family val="2"/>
      </rPr>
      <t>Louisiana</t>
    </r>
  </si>
  <si>
    <r>
      <t>.</t>
    </r>
    <r>
      <rPr>
        <sz val="12"/>
        <color indexed="8"/>
        <rFont val="Calibri"/>
        <family val="2"/>
      </rPr>
      <t>Maine</t>
    </r>
  </si>
  <si>
    <r>
      <t>.</t>
    </r>
    <r>
      <rPr>
        <sz val="12"/>
        <color indexed="8"/>
        <rFont val="Calibri"/>
        <family val="2"/>
      </rPr>
      <t>Maryland</t>
    </r>
  </si>
  <si>
    <r>
      <t>.</t>
    </r>
    <r>
      <rPr>
        <sz val="12"/>
        <color indexed="8"/>
        <rFont val="Calibri"/>
        <family val="2"/>
      </rPr>
      <t>Massachusetts</t>
    </r>
  </si>
  <si>
    <r>
      <t>.</t>
    </r>
    <r>
      <rPr>
        <sz val="12"/>
        <color indexed="8"/>
        <rFont val="Calibri"/>
        <family val="2"/>
      </rPr>
      <t>Michigan</t>
    </r>
  </si>
  <si>
    <r>
      <t>.</t>
    </r>
    <r>
      <rPr>
        <sz val="12"/>
        <color indexed="8"/>
        <rFont val="Calibri"/>
        <family val="2"/>
      </rPr>
      <t>Minnesota</t>
    </r>
  </si>
  <si>
    <r>
      <t>.</t>
    </r>
    <r>
      <rPr>
        <sz val="12"/>
        <color indexed="8"/>
        <rFont val="Calibri"/>
        <family val="2"/>
      </rPr>
      <t>Mississippi</t>
    </r>
  </si>
  <si>
    <r>
      <t>.</t>
    </r>
    <r>
      <rPr>
        <sz val="12"/>
        <color indexed="8"/>
        <rFont val="Calibri"/>
        <family val="2"/>
      </rPr>
      <t>Missouri</t>
    </r>
  </si>
  <si>
    <r>
      <t>.</t>
    </r>
    <r>
      <rPr>
        <sz val="12"/>
        <color indexed="8"/>
        <rFont val="Calibri"/>
        <family val="2"/>
      </rPr>
      <t>Montana</t>
    </r>
  </si>
  <si>
    <r>
      <t>.</t>
    </r>
    <r>
      <rPr>
        <sz val="12"/>
        <color indexed="8"/>
        <rFont val="Calibri"/>
        <family val="2"/>
      </rPr>
      <t>Nebraska</t>
    </r>
  </si>
  <si>
    <r>
      <t>.</t>
    </r>
    <r>
      <rPr>
        <sz val="12"/>
        <color indexed="8"/>
        <rFont val="Calibri"/>
        <family val="2"/>
      </rPr>
      <t>Nevada</t>
    </r>
  </si>
  <si>
    <r>
      <t>.</t>
    </r>
    <r>
      <rPr>
        <sz val="12"/>
        <color indexed="8"/>
        <rFont val="Calibri"/>
        <family val="2"/>
      </rPr>
      <t>New Hampshire</t>
    </r>
  </si>
  <si>
    <r>
      <t>.</t>
    </r>
    <r>
      <rPr>
        <sz val="12"/>
        <color indexed="8"/>
        <rFont val="Calibri"/>
        <family val="2"/>
      </rPr>
      <t>New Jersey</t>
    </r>
  </si>
  <si>
    <r>
      <t>.</t>
    </r>
    <r>
      <rPr>
        <sz val="12"/>
        <color indexed="8"/>
        <rFont val="Calibri"/>
        <family val="2"/>
      </rPr>
      <t>New Mexico</t>
    </r>
  </si>
  <si>
    <r>
      <t>.</t>
    </r>
    <r>
      <rPr>
        <sz val="12"/>
        <color indexed="8"/>
        <rFont val="Calibri"/>
        <family val="2"/>
      </rPr>
      <t>New York</t>
    </r>
  </si>
  <si>
    <r>
      <t>.</t>
    </r>
    <r>
      <rPr>
        <sz val="12"/>
        <color indexed="8"/>
        <rFont val="Calibri"/>
        <family val="2"/>
      </rPr>
      <t>North Carolina</t>
    </r>
  </si>
  <si>
    <r>
      <t>.</t>
    </r>
    <r>
      <rPr>
        <sz val="12"/>
        <color indexed="8"/>
        <rFont val="Calibri"/>
        <family val="2"/>
      </rPr>
      <t>North Dakota</t>
    </r>
  </si>
  <si>
    <r>
      <t>.</t>
    </r>
    <r>
      <rPr>
        <sz val="12"/>
        <color indexed="8"/>
        <rFont val="Calibri"/>
        <family val="2"/>
      </rPr>
      <t>Ohio</t>
    </r>
  </si>
  <si>
    <r>
      <t>.</t>
    </r>
    <r>
      <rPr>
        <sz val="12"/>
        <color indexed="8"/>
        <rFont val="Calibri"/>
        <family val="2"/>
      </rPr>
      <t>Oklahoma</t>
    </r>
  </si>
  <si>
    <r>
      <t>.</t>
    </r>
    <r>
      <rPr>
        <sz val="12"/>
        <color indexed="8"/>
        <rFont val="Calibri"/>
        <family val="2"/>
      </rPr>
      <t>Oregon</t>
    </r>
  </si>
  <si>
    <r>
      <t>.</t>
    </r>
    <r>
      <rPr>
        <sz val="12"/>
        <color indexed="8"/>
        <rFont val="Calibri"/>
        <family val="2"/>
      </rPr>
      <t>Pennsylvania</t>
    </r>
  </si>
  <si>
    <r>
      <t>.</t>
    </r>
    <r>
      <rPr>
        <sz val="12"/>
        <color indexed="8"/>
        <rFont val="Calibri"/>
        <family val="2"/>
      </rPr>
      <t>Rhode Island</t>
    </r>
  </si>
  <si>
    <r>
      <t>.</t>
    </r>
    <r>
      <rPr>
        <sz val="12"/>
        <color indexed="8"/>
        <rFont val="Calibri"/>
        <family val="2"/>
      </rPr>
      <t>South Carolina</t>
    </r>
  </si>
  <si>
    <r>
      <t>.</t>
    </r>
    <r>
      <rPr>
        <sz val="12"/>
        <color indexed="8"/>
        <rFont val="Calibri"/>
        <family val="2"/>
      </rPr>
      <t>South Dakota</t>
    </r>
  </si>
  <si>
    <r>
      <t>.</t>
    </r>
    <r>
      <rPr>
        <sz val="12"/>
        <color indexed="8"/>
        <rFont val="Calibri"/>
        <family val="2"/>
      </rPr>
      <t>Tennessee</t>
    </r>
  </si>
  <si>
    <r>
      <t>.</t>
    </r>
    <r>
      <rPr>
        <sz val="12"/>
        <color indexed="8"/>
        <rFont val="Calibri"/>
        <family val="2"/>
      </rPr>
      <t>Texas</t>
    </r>
  </si>
  <si>
    <r>
      <t>.</t>
    </r>
    <r>
      <rPr>
        <sz val="12"/>
        <color indexed="8"/>
        <rFont val="Calibri"/>
        <family val="2"/>
      </rPr>
      <t>Utah</t>
    </r>
  </si>
  <si>
    <r>
      <t>.</t>
    </r>
    <r>
      <rPr>
        <sz val="12"/>
        <color indexed="8"/>
        <rFont val="Calibri"/>
        <family val="2"/>
      </rPr>
      <t>Vermont</t>
    </r>
  </si>
  <si>
    <r>
      <t>.</t>
    </r>
    <r>
      <rPr>
        <sz val="12"/>
        <color indexed="8"/>
        <rFont val="Calibri"/>
        <family val="2"/>
      </rPr>
      <t>Virginia</t>
    </r>
  </si>
  <si>
    <r>
      <t>.</t>
    </r>
    <r>
      <rPr>
        <sz val="12"/>
        <color indexed="8"/>
        <rFont val="Calibri"/>
        <family val="2"/>
      </rPr>
      <t>Washington</t>
    </r>
  </si>
  <si>
    <r>
      <t>.</t>
    </r>
    <r>
      <rPr>
        <sz val="12"/>
        <color indexed="8"/>
        <rFont val="Calibri"/>
        <family val="2"/>
      </rPr>
      <t>West Virginia</t>
    </r>
  </si>
  <si>
    <r>
      <t>.</t>
    </r>
    <r>
      <rPr>
        <sz val="12"/>
        <color indexed="8"/>
        <rFont val="Calibri"/>
        <family val="2"/>
      </rPr>
      <t>Wisconsin</t>
    </r>
  </si>
  <si>
    <r>
      <t>.</t>
    </r>
    <r>
      <rPr>
        <sz val="12"/>
        <color indexed="8"/>
        <rFont val="Calibri"/>
        <family val="2"/>
      </rPr>
      <t>Wyoming</t>
    </r>
  </si>
  <si>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</si>
  <si>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</si>
  <si>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</si>
  <si>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</si>
  <si>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</si>
  <si>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</si>
  <si>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</si>
  <si>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</si>
  <si>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</si>
  <si>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</si>
  <si>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</si>
  <si>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</si>
  <si>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</si>
  <si>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</si>
  <si>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</si>
  <si>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</si>
  <si>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</si>
  <si>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</si>
  <si>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</si>
  <si>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</si>
  <si>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</si>
  <si>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</si>
  <si>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</si>
  <si>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</si>
  <si>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</si>
  <si>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</si>
  <si>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</si>
  <si>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</si>
  <si>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</si>
  <si>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</si>
  <si>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</si>
  <si>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</si>
  <si>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</si>
  <si>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</si>
  <si>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</si>
  <si>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</si>
  <si>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</si>
  <si>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</si>
  <si>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</si>
  <si>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</si>
  <si>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</si>
  <si>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</si>
  <si>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</si>
  <si>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</si>
  <si>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</si>
  <si>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</si>
  <si>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</si>
  <si>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</si>
  <si>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</si>
  <si>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</si>
  <si>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Population</t>
  </si>
  <si>
    <t>GSP</t>
  </si>
  <si>
    <t>GSP/GDP</t>
  </si>
  <si>
    <t>SOURCE</t>
  </si>
  <si>
    <t>State/US</t>
  </si>
  <si>
    <t>Percent</t>
  </si>
  <si>
    <t>United States</t>
  </si>
  <si>
    <t>US</t>
  </si>
  <si>
    <t>CHECK</t>
  </si>
  <si>
    <t>Millions of Chained 2005 $</t>
  </si>
  <si>
    <t>Calculated</t>
  </si>
  <si>
    <t>US Bureau of Economic Analysis, http://www.bea.gov/newsreleases/regional/gdp_state/gsp_newsrelease.htm</t>
  </si>
  <si>
    <t>GSP/Capita</t>
  </si>
  <si>
    <t>Rank</t>
  </si>
  <si>
    <t>---</t>
  </si>
  <si>
    <t>Genuine Progress Indicator</t>
  </si>
  <si>
    <t>Personal Consumption Expenditures</t>
  </si>
  <si>
    <t>Cost of Consumer Durables</t>
  </si>
  <si>
    <t>Cost of Underemployment</t>
  </si>
  <si>
    <t>Net Capital Investment</t>
  </si>
  <si>
    <t>Cost of Water Pollution</t>
  </si>
  <si>
    <t>Ratio of state result to average per capita:</t>
  </si>
  <si>
    <t>GPI %</t>
  </si>
  <si>
    <t>Less than 2%</t>
  </si>
  <si>
    <t xml:space="preserve">GPI without  sub-indicator </t>
  </si>
  <si>
    <t>http://www.bls.gov/oes/tables.htm  37-2011</t>
  </si>
  <si>
    <t>Cost of Air Pollution</t>
  </si>
  <si>
    <t>Cost of Noise Pollution</t>
  </si>
  <si>
    <t>Cost of Net Wetland Change</t>
  </si>
  <si>
    <t>Cost of Net Farmland Change</t>
  </si>
  <si>
    <t>Cost of Net Forest Cover Change</t>
  </si>
  <si>
    <t>Cost of Climate Change</t>
  </si>
  <si>
    <t>Cost of Ozone Depletion</t>
  </si>
  <si>
    <t>Cost of Nonrenewable Energy Resource Depletion</t>
  </si>
  <si>
    <t>Cost of Family Changes</t>
  </si>
  <si>
    <t>Cost of Crime</t>
  </si>
  <si>
    <t>Cost of Personal Pollution Abatement</t>
  </si>
  <si>
    <t>Cost of Lost Leisure Time</t>
  </si>
  <si>
    <t>Cost of Commuting</t>
  </si>
  <si>
    <t>Cost of Motor Vehicle Crashes</t>
  </si>
  <si>
    <t>US Census, Population estimates by State, 2011 (Vintage 2012) (as of July 1, 2011), http://www.census.gov/popest/</t>
  </si>
  <si>
    <t>Total, 2011</t>
  </si>
  <si>
    <t>Billions of $, 2011</t>
  </si>
  <si>
    <t>NOTES</t>
  </si>
  <si>
    <t>Stock of Consumer Durables (Billion, 2011 $)</t>
  </si>
  <si>
    <t>Percentage of Stock of Consumer Durables</t>
  </si>
  <si>
    <t>Interest Rate (cpportunity cost of capital)</t>
  </si>
  <si>
    <t>Depreciation Rate of Consumer Durables (100 / 8 years of useful life)</t>
  </si>
  <si>
    <t>U.S. Consumer Durables Spending (Billion, Current $)</t>
  </si>
  <si>
    <t>Bureau of Economic Analysis (2014). NIPA Tables Database, Table 2.3.5, Personal Consumption Expenditures by Major Type of Product, Annual, 2002-2011, Retrieved February 2, 2014 from http://bea.gov/iTable/iTable.cfm?ReqID=9&amp;step=1#reqid=9&amp;step=3&amp;isuri=1&amp;903=65</t>
  </si>
  <si>
    <t>U.S. Personal Income (Billion, Current $)</t>
  </si>
  <si>
    <t>Bureau of Economic Analysis (2014). NIPA Tables Database, Table 2.1, Personal Income, Annual, 2002-2011. Retrieved February 2, 2014 http://bea.gov/iTable/iTable.cfm?ReqID=9&amp;step=1#reqid=9&amp;step=3&amp;isuri=1&amp;903=58</t>
  </si>
  <si>
    <t>Percentage of U.S. Personal Income Spent on Consumer Durables</t>
  </si>
  <si>
    <t>Calculated as U.S. Personal Income divided by U.S. Consumer Durables Spending</t>
  </si>
  <si>
    <t>CPI-U-Midwest</t>
  </si>
  <si>
    <r>
      <t>.</t>
    </r>
    <r>
      <rPr>
        <sz val="12"/>
        <color indexed="8"/>
        <rFont val="Calibri"/>
        <family val="2"/>
      </rPr>
      <t>Alabama</t>
    </r>
  </si>
  <si>
    <r>
      <t>.</t>
    </r>
    <r>
      <rPr>
        <sz val="12"/>
        <color indexed="8"/>
        <rFont val="Calibri"/>
        <family val="2"/>
      </rPr>
      <t>Alaska</t>
    </r>
  </si>
  <si>
    <r>
      <t>.</t>
    </r>
    <r>
      <rPr>
        <sz val="12"/>
        <color indexed="8"/>
        <rFont val="Calibri"/>
        <family val="2"/>
      </rPr>
      <t>Arizona</t>
    </r>
  </si>
  <si>
    <r>
      <t>.</t>
    </r>
    <r>
      <rPr>
        <sz val="12"/>
        <color indexed="8"/>
        <rFont val="Calibri"/>
        <family val="2"/>
      </rPr>
      <t>Arkansas</t>
    </r>
  </si>
  <si>
    <r>
      <t>.</t>
    </r>
    <r>
      <rPr>
        <sz val="12"/>
        <color indexed="8"/>
        <rFont val="Calibri"/>
        <family val="2"/>
      </rPr>
      <t>California</t>
    </r>
  </si>
  <si>
    <r>
      <t>.</t>
    </r>
    <r>
      <rPr>
        <sz val="12"/>
        <color indexed="8"/>
        <rFont val="Calibri"/>
        <family val="2"/>
      </rPr>
      <t>Colorado</t>
    </r>
  </si>
  <si>
    <r>
      <t>.</t>
    </r>
    <r>
      <rPr>
        <sz val="12"/>
        <color indexed="8"/>
        <rFont val="Calibri"/>
        <family val="2"/>
      </rPr>
      <t>Connecticut</t>
    </r>
  </si>
  <si>
    <r>
      <t>.</t>
    </r>
    <r>
      <rPr>
        <sz val="12"/>
        <color indexed="8"/>
        <rFont val="Calibri"/>
        <family val="2"/>
      </rPr>
      <t>Delaware</t>
    </r>
  </si>
  <si>
    <r>
      <t>.</t>
    </r>
    <r>
      <rPr>
        <sz val="12"/>
        <color indexed="8"/>
        <rFont val="Calibri"/>
        <family val="2"/>
      </rPr>
      <t>Florida</t>
    </r>
  </si>
  <si>
    <r>
      <t>.</t>
    </r>
    <r>
      <rPr>
        <sz val="12"/>
        <color indexed="8"/>
        <rFont val="Calibri"/>
        <family val="2"/>
      </rPr>
      <t>Georgia</t>
    </r>
  </si>
  <si>
    <r>
      <t>.</t>
    </r>
    <r>
      <rPr>
        <sz val="12"/>
        <color indexed="8"/>
        <rFont val="Calibri"/>
        <family val="2"/>
      </rPr>
      <t>Hawaii</t>
    </r>
  </si>
  <si>
    <r>
      <t>.</t>
    </r>
    <r>
      <rPr>
        <sz val="12"/>
        <color indexed="8"/>
        <rFont val="Calibri"/>
        <family val="2"/>
      </rPr>
      <t>Idaho</t>
    </r>
  </si>
  <si>
    <r>
      <t>.</t>
    </r>
    <r>
      <rPr>
        <sz val="12"/>
        <color indexed="8"/>
        <rFont val="Calibri"/>
        <family val="2"/>
      </rPr>
      <t>Illinois</t>
    </r>
  </si>
  <si>
    <t>U.S. Department of Labor Bureau of Labor Statistics, Consumer Price Index, All Urban Consumers (CPI-U), Midwest Urban. Retrieved on February 11, 2014, from http://data.bls.gov/pdq/SurveyOutputServlet?data_tool=dropmap&amp;series_id=CUUR0200SA0,CUUS0200SA0</t>
  </si>
  <si>
    <t>CPI-U-Midwest, deflator to base year 2011</t>
  </si>
  <si>
    <t>Calculated as 2011 CPI-U = 1</t>
  </si>
  <si>
    <t>CPI-U-Northeast</t>
  </si>
  <si>
    <t>U.S. Department of Labor Bureau of Labor Statistics, Consumer Price Index, All Urban Consumers (CPI-U), Northeast Urban. Retrieved on February 11, 2014, from http://data.bls.gov/pdq/SurveyOutputServlet?data_tool=dropmap&amp;series_id=CUUR0100SA0,CUUS0100SA0</t>
  </si>
  <si>
    <t>CPI-U-Northeast, deflator to base year 2011</t>
  </si>
  <si>
    <t>CPI-U-South</t>
  </si>
  <si>
    <t>U.S. Department of Labor Bureau of Labor Statistics, Consumer Price Index, All Urban Consumers (CPI-U), South Urban. Retrieved on February 11, 2014, from http://data.bls.gov/pdq/SurveyOutputServlet?data_tool=dropmap&amp;series_id=CUUR0300SA0,CUUS0300SA0</t>
  </si>
  <si>
    <t>CPI-U-South, deflator to base year 2011</t>
  </si>
  <si>
    <t>CPI-U-West</t>
  </si>
  <si>
    <t>U.S. Department of Labor Bureau of Labor Statistics, Consumer Price Index, All Urban Consumers (CPI-U), West Urban. Retrieved on February 11, 2014, from http://data.bls.gov/pdq/SurveyOutputServlet?data_tool=dropmap&amp;series_id=CUUR0400SA0,CUUS0400SA0</t>
  </si>
  <si>
    <t>CPI-U-West, deflator to base year 2011</t>
  </si>
  <si>
    <t>State Personal Income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</si>
  <si>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</si>
  <si>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</si>
  <si>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</si>
  <si>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</si>
  <si>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</si>
  <si>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</si>
  <si>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</si>
  <si>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</si>
  <si>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</si>
  <si>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</si>
  <si>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</si>
  <si>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</si>
  <si>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</si>
  <si>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</si>
  <si>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</si>
  <si>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</si>
  <si>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</si>
  <si>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</si>
  <si>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</si>
  <si>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</si>
  <si>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</si>
  <si>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</si>
  <si>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</si>
  <si>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</si>
  <si>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</si>
  <si>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</si>
  <si>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</si>
  <si>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</si>
  <si>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</si>
  <si>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</si>
  <si>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</si>
  <si>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</si>
  <si>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</si>
  <si>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</si>
  <si>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</si>
  <si>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</si>
  <si>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</si>
  <si>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</si>
  <si>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</si>
  <si>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</si>
  <si>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</si>
  <si>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</si>
  <si>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</si>
  <si>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</si>
  <si>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</si>
  <si>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Wisconsin</t>
  </si>
  <si>
    <t>Wyoming</t>
  </si>
  <si>
    <t>(Billion, Current $)</t>
  </si>
  <si>
    <t>2002</t>
  </si>
  <si>
    <t>Bureau of Economic Analysis (2014). SPI Tables Database, Regional Data, GDP &amp; Personal Income, SA04 State income and employment summary, All States and DC, Annual, 2002-2011. Retrieved February 3, 2014 from http://www.bea.gov/iTable/iTable.cfm?ReqID=70&amp;step=1#reqid=70&amp;step=30&amp;isuri=1&amp;7028=10&amp;7040=-1&amp;7083=levels&amp;7031=0&amp;7030=0&amp;7022=48&amp;7023=0&amp;7024=non-industry&amp;7025=0&amp;7026=01000,02000,04000,05000,06000,08000,09000,10000,11000,12000,13000,15000,16000,17000,18000,19000,20000,21000,22000,23000,24000,25000,26000,27000,28000,29000,30000,31000,32000,33000,34000,35000,36000,37000,38000,39000,40000,41000,42000,44000,45000,46000,47000,48000,49000,50000,51000,53000,54000,55000,56000&amp;7027=2011,2010,2009,2008,2007,2006,2005,2004,2003,2002&amp;7001=448&amp;7029=48&amp;7090=70&amp;7033=-1</t>
  </si>
  <si>
    <t>2003</t>
  </si>
  <si>
    <t>2004</t>
  </si>
  <si>
    <t>2005</t>
  </si>
  <si>
    <t>2006</t>
  </si>
  <si>
    <t>2007</t>
  </si>
  <si>
    <t>2008</t>
  </si>
  <si>
    <t>2009</t>
  </si>
  <si>
    <t>2010</t>
  </si>
  <si>
    <t>2011</t>
  </si>
  <si>
    <t>State Cost of Consumer Durables</t>
  </si>
  <si>
    <t>Calculated as State Personal Income divided by Percentage of U.S. Personal Income Spent on Consumer Durables</t>
  </si>
  <si>
    <t>(Billion, 2011 $)</t>
  </si>
  <si>
    <t>Calculated as State Cost of Consumer Durables adjusted for inflation (by region) to reflect 2011 $</t>
  </si>
  <si>
    <t>See sheet "4"</t>
  </si>
  <si>
    <t>Calculated as State Personal Income multiplied by U.S. Percentage of Personal Income Spent on Consumer Durables</t>
  </si>
  <si>
    <t>Complete List of Data</t>
  </si>
  <si>
    <t>Data Sources for 'Complete List of Data':</t>
  </si>
  <si>
    <t>Methodological Notes:</t>
  </si>
  <si>
    <t>Accompanying files:</t>
  </si>
  <si>
    <t>Indicator 13: Cost of Net Forest Cover Change</t>
  </si>
  <si>
    <t>Calculated based on Cumulative Forest Change</t>
    <phoneticPr fontId="0" type="noConversion"/>
  </si>
  <si>
    <t>Calculated from Forest Cover Data</t>
    <phoneticPr fontId="0" type="noConversion"/>
  </si>
  <si>
    <t>Based on Pearce, D.W. &amp; Pearce, C.G., (2001). The Value of Forest Ecosystems. Retrieved July 9, 2013 from http://discovery.ucl.ac.uk/17587/1/17587.pdf.</t>
  </si>
  <si>
    <t>Number of Workers Driving Alone</t>
  </si>
  <si>
    <t>Number of Workers Carpooling</t>
  </si>
  <si>
    <t>U.S. Census Bureau (2013). State and Country Quickfacts, Vermont, Land area in square miles, 2010 (rev. Jun. 27, 2013). Retrieved June 07, 2013 from http://quickfacts.census.gov/qfd/states/50000.html</t>
  </si>
  <si>
    <t>Percent pre-colonial forest cover</t>
  </si>
  <si>
    <t>Kellogg, R. S. (1909) The Timber Supply of the United States. US Department of Agriculture, Forest Service. Pg 7.  http://www.fia.fs.fed.us/slides/trend-data/web%20historic%20publications/1909%20timber%20supply%20of%20us.pdf</t>
  </si>
  <si>
    <t>Total forest cover pre-colonial (thousand acres)</t>
  </si>
  <si>
    <t>Formula for monetary value:</t>
  </si>
  <si>
    <t>Accompanying Text:</t>
  </si>
  <si>
    <t xml:space="preserve">
</t>
  </si>
  <si>
    <t>Indicator 23: Value of Higher Education</t>
  </si>
  <si>
    <t>Value of Higher Education (Billion 2011 $)</t>
  </si>
  <si>
    <t>Percent of State Population 25 and older with Bachelor Degree or Higher</t>
  </si>
  <si>
    <t>United States Census Bureau (n.d.) American Fact Finder, Educational Attainment: 2011 American Community Survey 1-Year Estimates. Retrieved on March 11, 2014 from http://factfinder2.census.gov/faces/tableservices/jsf/pages/productview.xhtml?pid=ACS_11_1YR_S1501&amp;prodType=table</t>
  </si>
  <si>
    <t>State Population</t>
  </si>
  <si>
    <t>See sheet: GPI</t>
  </si>
  <si>
    <t>State Population 25 and older</t>
  </si>
  <si>
    <t>Indicator 24: Services of Highways and Streets</t>
  </si>
  <si>
    <t>Services of Highways and Streets in State (Billion 2011 $)</t>
  </si>
  <si>
    <t>Calculated as the ratio of state miles to US miles multiplied by the value of services of highways and streets in US</t>
  </si>
  <si>
    <t>Stock of Highways and Streets in US (Billion 2011 $)</t>
  </si>
  <si>
    <t>Bureau of Economic Analysis. Interactive Data, National Data, Fixed Assets Accounts Tables, Section 7 - Government Fixed Assets, Table 7.1B, Current-Cost Net Stock of Government Fixed Assets (A), Line 14, Highways and Streets, 2005-2012 (Rev. September 30, 2013). Retrieved from http://www.bea.gov/iTable/iTable.cfm?ReqID=10&amp;step=1#reqid=10&amp;step=3&amp;isuri=1&amp;1003=30</t>
  </si>
  <si>
    <t>Services of Highways and Streets in US (Billion 2011 $)</t>
  </si>
  <si>
    <t>Virginia</t>
  </si>
  <si>
    <t>Washington</t>
  </si>
  <si>
    <t>West Virginia</t>
  </si>
  <si>
    <t>Annual wage rate divided by 52 wks/yr divided by 40 hrs/wk</t>
  </si>
  <si>
    <t>Calculated as (Total expenditures for streets and highways)x(7.5% annual value). Based on Costanza, R., Erickson, J., Fligger, K., et al. (2004). Estimates of the Genuine Progress Indicator (GPI) for Vermont, Chittenden County and Burlington, from 1950 to 2000 (p. 142). Ecological Economics 51:139–155. Retrieved from http://www.green.maryland.gov/mdgpi/pdfs/GPI-Vermont.pdf</t>
  </si>
  <si>
    <t>US Miles of Highways</t>
  </si>
  <si>
    <t>US Department of Transportation. Office of Highway Policy Information. Highway Statistics Series. Highway Statistics 2011. Table HM-10. Public Road Length - 2011, Miles by Ownership. Retrieved on March 9, 2014, from http://www.fhwa.dot.gov/policyinformation/statistics/2011/hm10.cfm</t>
  </si>
  <si>
    <t>State Miles of Highways</t>
  </si>
  <si>
    <t>Ratio: State Miles of Highways to US Miles of Highways</t>
  </si>
  <si>
    <r>
      <rPr>
        <sz val="10"/>
        <color indexed="14"/>
        <rFont val="Helvetica"/>
        <family val="2"/>
      </rPr>
      <t>.</t>
    </r>
    <r>
      <rPr>
        <sz val="12"/>
        <color indexed="8"/>
        <rFont val="Trebuchet MS"/>
        <family val="2"/>
      </rPr>
      <t>Alabama</t>
    </r>
  </si>
  <si>
    <r>
      <rPr>
        <sz val="10"/>
        <color indexed="14"/>
        <rFont val="Helvetica"/>
        <family val="2"/>
      </rPr>
      <t>.</t>
    </r>
    <r>
      <rPr>
        <sz val="12"/>
        <color indexed="8"/>
        <rFont val="Trebuchet MS"/>
        <family val="2"/>
      </rPr>
      <t>Alaska</t>
    </r>
  </si>
  <si>
    <r>
      <rPr>
        <sz val="10"/>
        <color indexed="14"/>
        <rFont val="Helvetica"/>
        <family val="2"/>
      </rPr>
      <t>.</t>
    </r>
    <r>
      <rPr>
        <sz val="12"/>
        <color indexed="8"/>
        <rFont val="Trebuchet MS"/>
        <family val="2"/>
      </rPr>
      <t>Arizona</t>
    </r>
  </si>
  <si>
    <r>
      <rPr>
        <sz val="10"/>
        <color indexed="14"/>
        <rFont val="Helvetica"/>
        <family val="2"/>
      </rPr>
      <t>.</t>
    </r>
    <r>
      <rPr>
        <sz val="12"/>
        <color indexed="8"/>
        <rFont val="Trebuchet MS"/>
        <family val="2"/>
      </rPr>
      <t>Arkansas</t>
    </r>
  </si>
  <si>
    <r>
      <rPr>
        <sz val="10"/>
        <color indexed="14"/>
        <rFont val="Helvetica"/>
        <family val="2"/>
      </rPr>
      <t>.</t>
    </r>
    <r>
      <rPr>
        <sz val="12"/>
        <color indexed="8"/>
        <rFont val="Trebuchet MS"/>
        <family val="2"/>
      </rPr>
      <t>California</t>
    </r>
  </si>
  <si>
    <r>
      <rPr>
        <sz val="10"/>
        <color indexed="14"/>
        <rFont val="Helvetica"/>
        <family val="2"/>
      </rPr>
      <t>.</t>
    </r>
    <r>
      <rPr>
        <sz val="12"/>
        <color indexed="8"/>
        <rFont val="Trebuchet MS"/>
        <family val="2"/>
      </rPr>
      <t>Colorado</t>
    </r>
  </si>
  <si>
    <r>
      <rPr>
        <sz val="10"/>
        <color indexed="14"/>
        <rFont val="Helvetica"/>
        <family val="2"/>
      </rPr>
      <t>.</t>
    </r>
    <r>
      <rPr>
        <sz val="12"/>
        <color indexed="8"/>
        <rFont val="Trebuchet MS"/>
        <family val="2"/>
      </rPr>
      <t>Connecticut</t>
    </r>
  </si>
  <si>
    <r>
      <rPr>
        <sz val="10"/>
        <color indexed="14"/>
        <rFont val="Helvetica"/>
        <family val="2"/>
      </rPr>
      <t>.</t>
    </r>
    <r>
      <rPr>
        <sz val="12"/>
        <color indexed="8"/>
        <rFont val="Trebuchet MS"/>
        <family val="2"/>
      </rPr>
      <t>Delaware</t>
    </r>
  </si>
  <si>
    <r>
      <rPr>
        <sz val="10"/>
        <color indexed="14"/>
        <rFont val="Helvetica"/>
        <family val="2"/>
      </rPr>
      <t>.</t>
    </r>
    <r>
      <rPr>
        <sz val="12"/>
        <color indexed="8"/>
        <rFont val="Trebuchet MS"/>
        <family val="2"/>
      </rPr>
      <t>Florida</t>
    </r>
  </si>
  <si>
    <r>
      <rPr>
        <sz val="10"/>
        <color indexed="14"/>
        <rFont val="Helvetica"/>
        <family val="2"/>
      </rPr>
      <t>.</t>
    </r>
    <r>
      <rPr>
        <sz val="12"/>
        <color indexed="8"/>
        <rFont val="Trebuchet MS"/>
        <family val="2"/>
      </rPr>
      <t>Georgia</t>
    </r>
  </si>
  <si>
    <r>
      <rPr>
        <sz val="10"/>
        <color indexed="14"/>
        <rFont val="Helvetica"/>
        <family val="2"/>
      </rPr>
      <t>.</t>
    </r>
    <r>
      <rPr>
        <sz val="12"/>
        <color indexed="8"/>
        <rFont val="Trebuchet MS"/>
        <family val="2"/>
      </rPr>
      <t>Hawaii</t>
    </r>
  </si>
  <si>
    <r>
      <rPr>
        <sz val="10"/>
        <color indexed="14"/>
        <rFont val="Helvetica"/>
        <family val="2"/>
      </rPr>
      <t>.</t>
    </r>
    <r>
      <rPr>
        <sz val="12"/>
        <color indexed="8"/>
        <rFont val="Trebuchet MS"/>
        <family val="2"/>
      </rPr>
      <t>Idaho</t>
    </r>
  </si>
  <si>
    <r>
      <rPr>
        <sz val="10"/>
        <color indexed="14"/>
        <rFont val="Helvetica"/>
        <family val="2"/>
      </rPr>
      <t>.</t>
    </r>
    <r>
      <rPr>
        <sz val="12"/>
        <color indexed="8"/>
        <rFont val="Trebuchet MS"/>
        <family val="2"/>
      </rPr>
      <t>Illinois</t>
    </r>
  </si>
  <si>
    <r>
      <rPr>
        <sz val="10"/>
        <color indexed="14"/>
        <rFont val="Helvetica"/>
        <family val="2"/>
      </rPr>
      <t>.</t>
    </r>
    <r>
      <rPr>
        <sz val="12"/>
        <color indexed="8"/>
        <rFont val="Trebuchet MS"/>
        <family val="2"/>
      </rPr>
      <t>Indiana</t>
    </r>
  </si>
  <si>
    <r>
      <rPr>
        <sz val="10"/>
        <color indexed="14"/>
        <rFont val="Helvetica"/>
        <family val="2"/>
      </rPr>
      <t>.</t>
    </r>
    <r>
      <rPr>
        <sz val="12"/>
        <color indexed="8"/>
        <rFont val="Trebuchet MS"/>
        <family val="2"/>
      </rPr>
      <t>Iowa</t>
    </r>
  </si>
  <si>
    <r>
      <rPr>
        <sz val="10"/>
        <color indexed="14"/>
        <rFont val="Helvetica"/>
        <family val="2"/>
      </rPr>
      <t>.</t>
    </r>
    <r>
      <rPr>
        <sz val="12"/>
        <color indexed="8"/>
        <rFont val="Trebuchet MS"/>
        <family val="2"/>
      </rPr>
      <t>Kansas</t>
    </r>
  </si>
  <si>
    <r>
      <rPr>
        <sz val="10"/>
        <color indexed="14"/>
        <rFont val="Helvetica"/>
        <family val="2"/>
      </rPr>
      <t>.</t>
    </r>
    <r>
      <rPr>
        <sz val="12"/>
        <color indexed="8"/>
        <rFont val="Trebuchet MS"/>
        <family val="2"/>
      </rPr>
      <t>Kentucky</t>
    </r>
  </si>
  <si>
    <r>
      <rPr>
        <sz val="10"/>
        <color indexed="14"/>
        <rFont val="Helvetica"/>
        <family val="2"/>
      </rPr>
      <t>.</t>
    </r>
    <r>
      <rPr>
        <sz val="12"/>
        <color indexed="8"/>
        <rFont val="Trebuchet MS"/>
        <family val="2"/>
      </rPr>
      <t>Louisiana</t>
    </r>
  </si>
  <si>
    <r>
      <rPr>
        <sz val="10"/>
        <color indexed="14"/>
        <rFont val="Helvetica"/>
        <family val="2"/>
      </rPr>
      <t>.</t>
    </r>
    <r>
      <rPr>
        <sz val="12"/>
        <color indexed="8"/>
        <rFont val="Trebuchet MS"/>
        <family val="2"/>
      </rPr>
      <t>Maine</t>
    </r>
  </si>
  <si>
    <r>
      <rPr>
        <sz val="10"/>
        <color indexed="14"/>
        <rFont val="Helvetica"/>
        <family val="2"/>
      </rPr>
      <t>.</t>
    </r>
    <r>
      <rPr>
        <sz val="12"/>
        <color indexed="8"/>
        <rFont val="Trebuchet MS"/>
        <family val="2"/>
      </rPr>
      <t>Maryland</t>
    </r>
  </si>
  <si>
    <r>
      <rPr>
        <sz val="10"/>
        <color indexed="14"/>
        <rFont val="Helvetica"/>
        <family val="2"/>
      </rPr>
      <t>.</t>
    </r>
    <r>
      <rPr>
        <sz val="12"/>
        <color indexed="8"/>
        <rFont val="Trebuchet MS"/>
        <family val="2"/>
      </rPr>
      <t>Massachusetts</t>
    </r>
  </si>
  <si>
    <r>
      <rPr>
        <sz val="10"/>
        <color indexed="14"/>
        <rFont val="Helvetica"/>
        <family val="2"/>
      </rPr>
      <t>.</t>
    </r>
    <r>
      <rPr>
        <sz val="12"/>
        <color indexed="8"/>
        <rFont val="Trebuchet MS"/>
        <family val="2"/>
      </rPr>
      <t>Michigan</t>
    </r>
  </si>
  <si>
    <r>
      <rPr>
        <sz val="10"/>
        <color indexed="14"/>
        <rFont val="Helvetica"/>
        <family val="2"/>
      </rPr>
      <t>.</t>
    </r>
    <r>
      <rPr>
        <sz val="12"/>
        <color indexed="8"/>
        <rFont val="Trebuchet MS"/>
        <family val="2"/>
      </rPr>
      <t>Minnesota</t>
    </r>
  </si>
  <si>
    <r>
      <rPr>
        <sz val="10"/>
        <color indexed="14"/>
        <rFont val="Helvetica"/>
        <family val="2"/>
      </rPr>
      <t>.</t>
    </r>
    <r>
      <rPr>
        <sz val="12"/>
        <color indexed="8"/>
        <rFont val="Trebuchet MS"/>
        <family val="2"/>
      </rPr>
      <t>Mississippi</t>
    </r>
  </si>
  <si>
    <r>
      <rPr>
        <sz val="10"/>
        <color indexed="14"/>
        <rFont val="Helvetica"/>
        <family val="2"/>
      </rPr>
      <t>.</t>
    </r>
    <r>
      <rPr>
        <sz val="12"/>
        <color indexed="8"/>
        <rFont val="Trebuchet MS"/>
        <family val="2"/>
      </rPr>
      <t>Missouri</t>
    </r>
  </si>
  <si>
    <r>
      <rPr>
        <sz val="10"/>
        <color indexed="14"/>
        <rFont val="Helvetica"/>
        <family val="2"/>
      </rPr>
      <t>.</t>
    </r>
    <r>
      <rPr>
        <sz val="12"/>
        <color indexed="8"/>
        <rFont val="Trebuchet MS"/>
        <family val="2"/>
      </rPr>
      <t>Montana</t>
    </r>
  </si>
  <si>
    <r>
      <rPr>
        <sz val="10"/>
        <color indexed="14"/>
        <rFont val="Helvetica"/>
        <family val="2"/>
      </rPr>
      <t>.</t>
    </r>
    <r>
      <rPr>
        <sz val="12"/>
        <color indexed="8"/>
        <rFont val="Trebuchet MS"/>
        <family val="2"/>
      </rPr>
      <t>Nebraska</t>
    </r>
  </si>
  <si>
    <r>
      <rPr>
        <sz val="10"/>
        <color indexed="14"/>
        <rFont val="Helvetica"/>
        <family val="2"/>
      </rPr>
      <t>.</t>
    </r>
    <r>
      <rPr>
        <sz val="12"/>
        <color indexed="8"/>
        <rFont val="Trebuchet MS"/>
        <family val="2"/>
      </rPr>
      <t>Nevada</t>
    </r>
  </si>
  <si>
    <r>
      <rPr>
        <sz val="10"/>
        <color indexed="14"/>
        <rFont val="Helvetica"/>
        <family val="2"/>
      </rPr>
      <t>.</t>
    </r>
    <r>
      <rPr>
        <sz val="12"/>
        <color indexed="8"/>
        <rFont val="Trebuchet MS"/>
        <family val="2"/>
      </rPr>
      <t>New Hampshire</t>
    </r>
  </si>
  <si>
    <r>
      <rPr>
        <sz val="10"/>
        <color indexed="14"/>
        <rFont val="Helvetica"/>
        <family val="2"/>
      </rPr>
      <t>.</t>
    </r>
    <r>
      <rPr>
        <sz val="12"/>
        <color indexed="8"/>
        <rFont val="Trebuchet MS"/>
        <family val="2"/>
      </rPr>
      <t>New Jersey</t>
    </r>
  </si>
  <si>
    <r>
      <rPr>
        <sz val="10"/>
        <color indexed="14"/>
        <rFont val="Helvetica"/>
        <family val="2"/>
      </rPr>
      <t>.</t>
    </r>
    <r>
      <rPr>
        <sz val="12"/>
        <color indexed="8"/>
        <rFont val="Trebuchet MS"/>
        <family val="2"/>
      </rPr>
      <t>New Mexico</t>
    </r>
  </si>
  <si>
    <r>
      <rPr>
        <sz val="10"/>
        <color indexed="14"/>
        <rFont val="Helvetica"/>
        <family val="2"/>
      </rPr>
      <t>.</t>
    </r>
    <r>
      <rPr>
        <sz val="12"/>
        <color indexed="8"/>
        <rFont val="Trebuchet MS"/>
        <family val="2"/>
      </rPr>
      <t>New York</t>
    </r>
  </si>
  <si>
    <r>
      <rPr>
        <sz val="10"/>
        <color indexed="14"/>
        <rFont val="Helvetica"/>
        <family val="2"/>
      </rPr>
      <t>.</t>
    </r>
    <r>
      <rPr>
        <sz val="12"/>
        <color indexed="8"/>
        <rFont val="Trebuchet MS"/>
        <family val="2"/>
      </rPr>
      <t>North Carolina</t>
    </r>
  </si>
  <si>
    <r>
      <rPr>
        <sz val="10"/>
        <color indexed="14"/>
        <rFont val="Helvetica"/>
        <family val="2"/>
      </rPr>
      <t>.</t>
    </r>
    <r>
      <rPr>
        <sz val="12"/>
        <color indexed="8"/>
        <rFont val="Trebuchet MS"/>
        <family val="2"/>
      </rPr>
      <t>North Dakota</t>
    </r>
  </si>
  <si>
    <r>
      <rPr>
        <sz val="10"/>
        <color indexed="14"/>
        <rFont val="Helvetica"/>
        <family val="2"/>
      </rPr>
      <t>.</t>
    </r>
    <r>
      <rPr>
        <sz val="12"/>
        <color indexed="8"/>
        <rFont val="Trebuchet MS"/>
        <family val="2"/>
      </rPr>
      <t>Ohio</t>
    </r>
  </si>
  <si>
    <r>
      <rPr>
        <sz val="10"/>
        <color indexed="14"/>
        <rFont val="Helvetica"/>
        <family val="2"/>
      </rPr>
      <t>.</t>
    </r>
    <r>
      <rPr>
        <sz val="12"/>
        <color indexed="8"/>
        <rFont val="Trebuchet MS"/>
        <family val="2"/>
      </rPr>
      <t>Oklahoma</t>
    </r>
  </si>
  <si>
    <r>
      <rPr>
        <sz val="10"/>
        <color indexed="14"/>
        <rFont val="Helvetica"/>
        <family val="2"/>
      </rPr>
      <t>.</t>
    </r>
    <r>
      <rPr>
        <sz val="12"/>
        <color indexed="8"/>
        <rFont val="Trebuchet MS"/>
        <family val="2"/>
      </rPr>
      <t>Oregon</t>
    </r>
  </si>
  <si>
    <r>
      <rPr>
        <sz val="10"/>
        <color indexed="14"/>
        <rFont val="Helvetica"/>
        <family val="2"/>
      </rPr>
      <t>.</t>
    </r>
    <r>
      <rPr>
        <sz val="12"/>
        <color indexed="8"/>
        <rFont val="Trebuchet MS"/>
        <family val="2"/>
      </rPr>
      <t>Pennsylvania</t>
    </r>
  </si>
  <si>
    <r>
      <rPr>
        <sz val="10"/>
        <color indexed="14"/>
        <rFont val="Helvetica"/>
        <family val="2"/>
      </rPr>
      <t>.</t>
    </r>
    <r>
      <rPr>
        <sz val="12"/>
        <color indexed="8"/>
        <rFont val="Trebuchet MS"/>
        <family val="2"/>
      </rPr>
      <t>Rhode Island</t>
    </r>
  </si>
  <si>
    <r>
      <rPr>
        <sz val="10"/>
        <color indexed="14"/>
        <rFont val="Helvetica"/>
        <family val="2"/>
      </rPr>
      <t>.</t>
    </r>
    <r>
      <rPr>
        <sz val="12"/>
        <color indexed="8"/>
        <rFont val="Trebuchet MS"/>
        <family val="2"/>
      </rPr>
      <t>South Carolina</t>
    </r>
  </si>
  <si>
    <r>
      <rPr>
        <sz val="10"/>
        <color indexed="14"/>
        <rFont val="Helvetica"/>
        <family val="2"/>
      </rPr>
      <t>.</t>
    </r>
    <r>
      <rPr>
        <sz val="12"/>
        <color indexed="8"/>
        <rFont val="Trebuchet MS"/>
        <family val="2"/>
      </rPr>
      <t>South Dakota</t>
    </r>
  </si>
  <si>
    <r>
      <rPr>
        <sz val="10"/>
        <color indexed="14"/>
        <rFont val="Helvetica"/>
        <family val="2"/>
      </rPr>
      <t>.</t>
    </r>
    <r>
      <rPr>
        <sz val="12"/>
        <color indexed="8"/>
        <rFont val="Trebuchet MS"/>
        <family val="2"/>
      </rPr>
      <t>Tennessee</t>
    </r>
  </si>
  <si>
    <r>
      <rPr>
        <sz val="10"/>
        <color indexed="14"/>
        <rFont val="Helvetica"/>
        <family val="2"/>
      </rPr>
      <t>.</t>
    </r>
    <r>
      <rPr>
        <sz val="12"/>
        <color indexed="8"/>
        <rFont val="Trebuchet MS"/>
        <family val="2"/>
      </rPr>
      <t>Texas</t>
    </r>
  </si>
  <si>
    <r>
      <rPr>
        <sz val="10"/>
        <color indexed="14"/>
        <rFont val="Helvetica"/>
        <family val="2"/>
      </rPr>
      <t>.</t>
    </r>
    <r>
      <rPr>
        <sz val="12"/>
        <color indexed="8"/>
        <rFont val="Trebuchet MS"/>
        <family val="2"/>
      </rPr>
      <t>Utah</t>
    </r>
  </si>
  <si>
    <r>
      <rPr>
        <sz val="10"/>
        <color indexed="14"/>
        <rFont val="Helvetica"/>
        <family val="2"/>
      </rPr>
      <t>.</t>
    </r>
    <r>
      <rPr>
        <sz val="12"/>
        <color indexed="8"/>
        <rFont val="Trebuchet MS"/>
        <family val="2"/>
      </rPr>
      <t>Vermont</t>
    </r>
  </si>
  <si>
    <r>
      <rPr>
        <sz val="10"/>
        <color indexed="14"/>
        <rFont val="Helvetica"/>
        <family val="2"/>
      </rPr>
      <t>.</t>
    </r>
    <r>
      <rPr>
        <sz val="12"/>
        <color indexed="8"/>
        <rFont val="Trebuchet MS"/>
        <family val="2"/>
      </rPr>
      <t>Virginia</t>
    </r>
  </si>
  <si>
    <r>
      <rPr>
        <sz val="10"/>
        <color indexed="14"/>
        <rFont val="Helvetica"/>
        <family val="2"/>
      </rPr>
      <t>.</t>
    </r>
    <r>
      <rPr>
        <sz val="12"/>
        <color indexed="8"/>
        <rFont val="Trebuchet MS"/>
        <family val="2"/>
      </rPr>
      <t>Washington</t>
    </r>
  </si>
  <si>
    <r>
      <rPr>
        <sz val="10"/>
        <color indexed="14"/>
        <rFont val="Helvetica"/>
        <family val="2"/>
      </rPr>
      <t>.</t>
    </r>
    <r>
      <rPr>
        <sz val="12"/>
        <color indexed="8"/>
        <rFont val="Trebuchet MS"/>
        <family val="2"/>
      </rPr>
      <t>West Virginia</t>
    </r>
  </si>
  <si>
    <r>
      <rPr>
        <sz val="10"/>
        <color indexed="14"/>
        <rFont val="Helvetica"/>
        <family val="2"/>
      </rPr>
      <t>.</t>
    </r>
    <r>
      <rPr>
        <sz val="12"/>
        <color indexed="8"/>
        <rFont val="Trebuchet MS"/>
        <family val="2"/>
      </rPr>
      <t>Wisconsin</t>
    </r>
  </si>
  <si>
    <r>
      <rPr>
        <sz val="10"/>
        <color indexed="14"/>
        <rFont val="Helvetica"/>
        <family val="2"/>
      </rPr>
      <t>.</t>
    </r>
    <r>
      <rPr>
        <sz val="12"/>
        <color indexed="8"/>
        <rFont val="Trebuchet MS"/>
        <family val="2"/>
      </rPr>
      <t>Wyoming</t>
    </r>
  </si>
  <si>
    <t>Cost of Commuting (Billions, 2011 $)</t>
  </si>
  <si>
    <t>Total Public Transport Fare Revenue (2011 $)</t>
  </si>
  <si>
    <t>Mean Travel Time to Work (in minutes)</t>
  </si>
  <si>
    <t>Number of Workers Commuting</t>
  </si>
  <si>
    <t>Commuting Cars Driven</t>
  </si>
  <si>
    <t>Average Miles per Car Driven</t>
  </si>
  <si>
    <t>Total Direct Driving Costs</t>
  </si>
  <si>
    <t>Total Hours Spent Commuting</t>
  </si>
  <si>
    <t>Average Wage Rate (2011 $)</t>
  </si>
  <si>
    <t>Value of Lost Time</t>
  </si>
  <si>
    <t>Calculated from: 2012 NTD Data Tables, Table 26. Fare Per Passenger and Recovery Ratio. http://www.apta.com/resources/statistics/Pages/NTDDataTables.aspx</t>
  </si>
  <si>
    <t>Cost of Underemployment 2011</t>
  </si>
  <si>
    <t>State Costs of Underemployment, Billions</t>
  </si>
  <si>
    <t>Unemployment Rate (Percent)</t>
  </si>
  <si>
    <t>Underemployment Rate (Percent)</t>
  </si>
  <si>
    <t>State Labor Force</t>
  </si>
  <si>
    <t>State Underemployed Persons</t>
  </si>
  <si>
    <t>State Average Wage Rate</t>
  </si>
  <si>
    <t>Total Unprovided Hours times Average Wage Rate</t>
  </si>
  <si>
    <t>State Unemployment Rate, recorded</t>
  </si>
  <si>
    <t>Bureau of Labor Statistics (2012). Local Area Unemployment Statistics (LAUS), States and selected areas, Employment status of the civilian noninstitutional population, Annual, 1976-2012. Retrieved Feb. 10, 2013 from http://www.bls.gov/lau/staadata.txt</t>
  </si>
  <si>
    <t>State Underemployment rate</t>
  </si>
  <si>
    <t>Bureau of Labor Statistics (2012). LAUS Alternative Measures of Labor Underutilization for States (Archived Tables), Measure U-6, rev. Jan. 27, 2012, retrieved Feb 3, 2014 from http://www.bls.gov/lau/stalt11q4.htm</t>
  </si>
  <si>
    <t>State labor force LAUS</t>
  </si>
  <si>
    <t>Underemployed persons</t>
  </si>
  <si>
    <t>Labor Force times Underemployment Rate</t>
  </si>
  <si>
    <t>Yearly unprovided hours interpolated and extrapolated</t>
  </si>
  <si>
    <t>Calculated as explained below. Leete-Guy, L. &amp; Schor, J. (1992). The Great American Time Squeeze: Trends in Work and Leisure, 1969-1989 (p. 4). Washington, DC: Economic Policy Institute. Retrieved July 15, 2013 from http://www.epi.org/publication/epi_virl</t>
  </si>
  <si>
    <t>Total unprovided hours</t>
  </si>
  <si>
    <t>Underemployed Workers times Yearly unprovided hours.</t>
  </si>
  <si>
    <t>State average annual wages (2011)</t>
  </si>
  <si>
    <t>Bureau of Labor Statistics (2012).  May 2011 State Occupational Employment and Wage Estimates.  Rev May 27, 2012.  Retrieved Feb 4, 2014 from http://www.bls.gov/oes/2011/may/oessrcst.htm</t>
  </si>
  <si>
    <t>Leete-Guy, L. &amp; Schor, J. (1992). The Great American Time Squeeze: Trends in Work and Leisure, 1969-1989 (p. 4). Washington, DC: Economic Policy Institute. Retrieved July 15, 2013 from http://www.epi.org/publication/epi_virlib_briefingpapers_1992_greata/</t>
  </si>
  <si>
    <t>Calculated, Row 17 Divided by Row 18</t>
    <phoneticPr fontId="4" type="noConversion"/>
  </si>
  <si>
    <t>(Number of Underemployed Persons, including Unemployed Persons) Multiplied by (Annual Unprovided Hours per Underemployed Worker) Multiplied by (Average Wage Rate)</t>
  </si>
  <si>
    <t xml:space="preserve"> State unemployment rates are routinely calculated.  More difficult is the underemployment rate.  For year 2003 and later, the Bureau of Labor Statistics has compiled an underemployment rate by state, and this measure (U6) is used for those years.  Following work done by Costanza (year?), postulation of underemployment rates for previous years is done through a complex formula that finds a relationship between un- and underemployment (with the latter assumed to be 100% when unemployment is also 100%) as reported in data from the BLS and also from Leete-Guy and Schor.  The quadratic equations is:
 % (underemployed + unemployed) = -0.000087305*(100*Unemployment%)2 + 0.969325*(100*Unemployment%) + 3.941336.
Unprovided hours were interpolated linearly between 1969 and 1989.  Before 1969 and beyond 1989, the national and previous State GPI studies used the assumption of a continued growth of yearly unprovided hours by 0.59 percent per year. The 1989 value of 803 hours is used as a base year.  While this is a dubious assumption, it yields the best available estimate of unprovided hours. There will need to be updated numbers such as provided by Leete-Guy and Schor for future years, or a new methodology based on the BLS labor force underutilization data will need to be developed.
</t>
  </si>
  <si>
    <t>State 8-hour Ozone Exceeding Days per year</t>
  </si>
  <si>
    <t>US Environmental Protection Agency. Air Data. Download Data. Download Daily Data. Pollutant: Ozone. Year: 2011. Geographic Area: [State]. http://www.epa.gov/airdata/ad_data_daily.html</t>
  </si>
  <si>
    <t xml:space="preserve">Damage Cost Scaling Methods from Costanza et al. (2004), Detailed Results by Column, p. 32, Column Q, Cost of Air Pollution, Table Q-1 National damage estimates (converted 2000 dollars) as reported in Freeman (1982). </t>
  </si>
  <si>
    <t>…material, cleaning, urban, aesthetics</t>
  </si>
  <si>
    <t>…forest</t>
  </si>
  <si>
    <t>Total Damage Cost per year (Million current $)</t>
  </si>
  <si>
    <t>Calculated Damage Cost per Ozone Exceeding Day, (Million current $)</t>
  </si>
  <si>
    <t>Urban and Rural Population by State.  2010 Census. http://www.census.gov/geo/reference/ua/urban-rural-2010.html</t>
  </si>
  <si>
    <t>Precolonial Wetland Acreage (Thousands of Acres)</t>
  </si>
  <si>
    <t>Precolonial wetland loss up to 1950 (estimated, thousands of acres)</t>
  </si>
  <si>
    <t>Pre-Colonial Wetland Value (2011$)</t>
  </si>
  <si>
    <t xml:space="preserve">Pre-colonial wetland value ($396 in 2000$) adjusted to 2011$ </t>
  </si>
  <si>
    <t>Total Pre-Colonial Wetland Loss Value (2011$)</t>
  </si>
  <si>
    <t>Pre-colonial wetland loss*pre-colonial wetland value*1000</t>
  </si>
  <si>
    <t>Wetland Area in 2010 (Thousands of Acres)</t>
  </si>
  <si>
    <r>
      <t xml:space="preserve">Table 17: Wetlands and deepwater habitats on water areas and on Federal land in 2010, by State In thousands of acres, with margins of error </t>
    </r>
    <r>
      <rPr>
        <u/>
        <sz val="12"/>
        <color indexed="11"/>
        <rFont val="Trebuchet MS"/>
        <family val="2"/>
      </rPr>
      <t>http://www.nrcs.usda.gov/Internet/FSE_DOCUMENTS/stelprdb1167354.pdf</t>
    </r>
    <r>
      <rPr>
        <sz val="12"/>
        <color indexed="8"/>
        <rFont val="Trebuchet MS"/>
        <family val="2"/>
      </rPr>
      <t xml:space="preserve"> Note: data for Alaska was retrieved from Table 1: Alaska Quick Facts </t>
    </r>
    <r>
      <rPr>
        <u/>
        <sz val="12"/>
        <color indexed="11"/>
        <rFont val="Trebuchet MS"/>
        <family val="2"/>
      </rPr>
      <t>http://dec.alaska.gov/water/wqsar/Docs/2010_Integrated_Report_Final_20100715_corrected_july_19.pdf</t>
    </r>
    <r>
      <rPr>
        <sz val="12"/>
        <color indexed="8"/>
        <rFont val="Trebuchet MS"/>
        <family val="2"/>
      </rPr>
      <t xml:space="preserve"> ; DC data from: </t>
    </r>
    <r>
      <rPr>
        <u/>
        <sz val="12"/>
        <color indexed="11"/>
        <rFont val="Trebuchet MS"/>
        <family val="2"/>
      </rPr>
      <t>https://water.usgs.gov/nwsum/WSP2425/state_highlights_summary.html</t>
    </r>
    <r>
      <rPr>
        <sz val="12"/>
        <color indexed="8"/>
        <rFont val="Trebuchet MS"/>
        <family val="2"/>
      </rPr>
      <t xml:space="preserve"> </t>
    </r>
  </si>
  <si>
    <t>Wetland loss 2010-2011 (estimated, in thousands of acres)</t>
  </si>
  <si>
    <t>(state wetlands/total wetlands 2010)*(13.8) [note: 13,800 annual acreage loss found in Figure 19, here: http://www.fws.gov/wetlands/Documents/Status-and-Trends-of-Wetlands-in-the-Conterminous-United-States-2004-to-2009.pdf</t>
  </si>
  <si>
    <t>Wetland loss 2004-2010 (estimated in thousands of acres)</t>
  </si>
  <si>
    <t>same as above row</t>
  </si>
  <si>
    <t>Wetland gain 1999-2004 (estimated in thousands of acres)</t>
  </si>
  <si>
    <t>Wetland Loss since 1950 in acres (estimated)</t>
  </si>
  <si>
    <t>total wetland loss - pre-1950 wetland loss</t>
  </si>
  <si>
    <t>Wetland Loss Value 1950-2011 (2011$)</t>
  </si>
  <si>
    <t>post-1950 wetland loss*post-1950 wetland value</t>
  </si>
  <si>
    <t>Cost of Net Wetland Change (2011$)</t>
  </si>
  <si>
    <t>pre-1950 wetland loss value + post-1950 wetland loss value</t>
  </si>
  <si>
    <t>Test Calc</t>
  </si>
  <si>
    <t>Difference</t>
  </si>
  <si>
    <t>CO2 from Coal (Tons)</t>
  </si>
  <si>
    <t>CO2 from Natural Gas (Tons)</t>
  </si>
  <si>
    <t>CO2 from Petroleum (Tons)</t>
  </si>
  <si>
    <t>CO2 from Wood and Waste (Tons)</t>
  </si>
  <si>
    <t>CO2 Total Emissions from Energy Consumption (Tons)</t>
  </si>
  <si>
    <t>Emissions Multiplied by Cost of Carbon</t>
    <phoneticPr fontId="4" type="noConversion"/>
  </si>
  <si>
    <t>Coal Consumption  (Billion BTU)</t>
    <phoneticPr fontId="4" type="noConversion"/>
  </si>
  <si>
    <t>Natural Gas Consumption (Billion BTU)</t>
    <phoneticPr fontId="4" type="noConversion"/>
  </si>
  <si>
    <t>Petroleum Consumption (Billion BTU)</t>
    <phoneticPr fontId="4" type="noConversion"/>
  </si>
  <si>
    <t>Wood and Waste Consumption (Billion BTU)</t>
    <phoneticPr fontId="4" type="noConversion"/>
  </si>
  <si>
    <r>
      <t>.</t>
    </r>
    <r>
      <rPr>
        <sz val="12"/>
        <color indexed="8"/>
        <rFont val="Calibri"/>
        <family val="2"/>
      </rPr>
      <t>Alabama</t>
    </r>
  </si>
  <si>
    <r>
      <t>.</t>
    </r>
    <r>
      <rPr>
        <sz val="12"/>
        <color indexed="8"/>
        <rFont val="Calibri"/>
        <family val="2"/>
      </rPr>
      <t>Alaska</t>
    </r>
  </si>
  <si>
    <r>
      <t>.</t>
    </r>
    <r>
      <rPr>
        <sz val="12"/>
        <color indexed="8"/>
        <rFont val="Calibri"/>
        <family val="2"/>
      </rPr>
      <t>Arizona</t>
    </r>
  </si>
  <si>
    <r>
      <t>.</t>
    </r>
    <r>
      <rPr>
        <sz val="12"/>
        <color indexed="8"/>
        <rFont val="Calibri"/>
        <family val="2"/>
      </rPr>
      <t>Arkansas</t>
    </r>
  </si>
  <si>
    <r>
      <t>.</t>
    </r>
    <r>
      <rPr>
        <sz val="12"/>
        <color indexed="8"/>
        <rFont val="Calibri"/>
        <family val="2"/>
      </rPr>
      <t>California</t>
    </r>
  </si>
  <si>
    <r>
      <t>.</t>
    </r>
    <r>
      <rPr>
        <sz val="12"/>
        <color indexed="8"/>
        <rFont val="Calibri"/>
        <family val="2"/>
      </rPr>
      <t>Colorado</t>
    </r>
  </si>
  <si>
    <r>
      <t>.</t>
    </r>
    <r>
      <rPr>
        <sz val="12"/>
        <color indexed="8"/>
        <rFont val="Calibri"/>
        <family val="2"/>
      </rPr>
      <t>Connecticut</t>
    </r>
  </si>
  <si>
    <r>
      <t>.</t>
    </r>
    <r>
      <rPr>
        <sz val="12"/>
        <color indexed="8"/>
        <rFont val="Calibri"/>
        <family val="2"/>
      </rPr>
      <t>Delaware</t>
    </r>
  </si>
  <si>
    <r>
      <t>.</t>
    </r>
    <r>
      <rPr>
        <sz val="12"/>
        <color indexed="8"/>
        <rFont val="Calibri"/>
        <family val="2"/>
      </rPr>
      <t>Florida</t>
    </r>
  </si>
  <si>
    <r>
      <t>.</t>
    </r>
    <r>
      <rPr>
        <sz val="12"/>
        <color indexed="8"/>
        <rFont val="Calibri"/>
        <family val="2"/>
      </rPr>
      <t>Georgia</t>
    </r>
  </si>
  <si>
    <r>
      <t>.</t>
    </r>
    <r>
      <rPr>
        <sz val="12"/>
        <color indexed="8"/>
        <rFont val="Calibri"/>
        <family val="2"/>
      </rPr>
      <t>Hawaii</t>
    </r>
  </si>
  <si>
    <r>
      <t>.</t>
    </r>
    <r>
      <rPr>
        <sz val="12"/>
        <color indexed="8"/>
        <rFont val="Calibri"/>
        <family val="2"/>
      </rPr>
      <t>Idaho</t>
    </r>
  </si>
  <si>
    <r>
      <t>.</t>
    </r>
    <r>
      <rPr>
        <sz val="12"/>
        <color indexed="8"/>
        <rFont val="Calibri"/>
        <family val="2"/>
      </rPr>
      <t>Illinois</t>
    </r>
  </si>
  <si>
    <r>
      <t>.</t>
    </r>
    <r>
      <rPr>
        <sz val="12"/>
        <color indexed="8"/>
        <rFont val="Calibri"/>
        <family val="2"/>
      </rPr>
      <t>Indiana</t>
    </r>
  </si>
  <si>
    <r>
      <t>.</t>
    </r>
    <r>
      <rPr>
        <sz val="12"/>
        <color indexed="8"/>
        <rFont val="Calibri"/>
        <family val="2"/>
      </rPr>
      <t>Iowa</t>
    </r>
  </si>
  <si>
    <r>
      <t>.</t>
    </r>
    <r>
      <rPr>
        <sz val="12"/>
        <color indexed="8"/>
        <rFont val="Calibri"/>
        <family val="2"/>
      </rPr>
      <t>Kansas</t>
    </r>
  </si>
  <si>
    <r>
      <t>.</t>
    </r>
    <r>
      <rPr>
        <sz val="12"/>
        <color indexed="8"/>
        <rFont val="Calibri"/>
        <family val="2"/>
      </rPr>
      <t>Kentucky</t>
    </r>
  </si>
  <si>
    <r>
      <t>.</t>
    </r>
    <r>
      <rPr>
        <sz val="12"/>
        <color indexed="8"/>
        <rFont val="Calibri"/>
        <family val="2"/>
      </rPr>
      <t>Louisiana</t>
    </r>
  </si>
  <si>
    <r>
      <t>.</t>
    </r>
    <r>
      <rPr>
        <sz val="12"/>
        <color indexed="8"/>
        <rFont val="Calibri"/>
        <family val="2"/>
      </rPr>
      <t>Maine</t>
    </r>
  </si>
  <si>
    <r>
      <t>.</t>
    </r>
    <r>
      <rPr>
        <sz val="12"/>
        <color indexed="8"/>
        <rFont val="Calibri"/>
        <family val="2"/>
      </rPr>
      <t>Maryland</t>
    </r>
  </si>
  <si>
    <r>
      <t>.</t>
    </r>
    <r>
      <rPr>
        <sz val="12"/>
        <color indexed="8"/>
        <rFont val="Calibri"/>
        <family val="2"/>
      </rPr>
      <t>Massachusetts</t>
    </r>
  </si>
  <si>
    <r>
      <t>.</t>
    </r>
    <r>
      <rPr>
        <sz val="12"/>
        <color indexed="8"/>
        <rFont val="Calibri"/>
        <family val="2"/>
      </rPr>
      <t>Michigan</t>
    </r>
  </si>
  <si>
    <r>
      <t>.</t>
    </r>
    <r>
      <rPr>
        <sz val="12"/>
        <color indexed="8"/>
        <rFont val="Calibri"/>
        <family val="2"/>
      </rPr>
      <t>Minnesota</t>
    </r>
  </si>
  <si>
    <r>
      <t>.</t>
    </r>
    <r>
      <rPr>
        <sz val="12"/>
        <color indexed="8"/>
        <rFont val="Calibri"/>
        <family val="2"/>
      </rPr>
      <t>Mississippi</t>
    </r>
  </si>
  <si>
    <r>
      <t>.</t>
    </r>
    <r>
      <rPr>
        <sz val="12"/>
        <color indexed="8"/>
        <rFont val="Calibri"/>
        <family val="2"/>
      </rPr>
      <t>Missouri</t>
    </r>
  </si>
  <si>
    <r>
      <t>.</t>
    </r>
    <r>
      <rPr>
        <sz val="12"/>
        <color indexed="8"/>
        <rFont val="Calibri"/>
        <family val="2"/>
      </rPr>
      <t>Montana</t>
    </r>
  </si>
  <si>
    <r>
      <t>.</t>
    </r>
    <r>
      <rPr>
        <sz val="12"/>
        <color indexed="8"/>
        <rFont val="Calibri"/>
        <family val="2"/>
      </rPr>
      <t>Nebraska</t>
    </r>
  </si>
  <si>
    <r>
      <t>.</t>
    </r>
    <r>
      <rPr>
        <sz val="12"/>
        <color indexed="8"/>
        <rFont val="Calibri"/>
        <family val="2"/>
      </rPr>
      <t>Nevada</t>
    </r>
  </si>
  <si>
    <r>
      <t>.</t>
    </r>
    <r>
      <rPr>
        <sz val="12"/>
        <color indexed="8"/>
        <rFont val="Calibri"/>
        <family val="2"/>
      </rPr>
      <t>New Hampshire</t>
    </r>
  </si>
  <si>
    <r>
      <t>.</t>
    </r>
    <r>
      <rPr>
        <sz val="12"/>
        <color indexed="8"/>
        <rFont val="Calibri"/>
        <family val="2"/>
      </rPr>
      <t>New Jersey</t>
    </r>
  </si>
  <si>
    <r>
      <t>.</t>
    </r>
    <r>
      <rPr>
        <sz val="12"/>
        <color indexed="8"/>
        <rFont val="Calibri"/>
        <family val="2"/>
      </rPr>
      <t>New Mexico</t>
    </r>
  </si>
  <si>
    <r>
      <t>.</t>
    </r>
    <r>
      <rPr>
        <sz val="12"/>
        <color indexed="8"/>
        <rFont val="Calibri"/>
        <family val="2"/>
      </rPr>
      <t>New York</t>
    </r>
  </si>
  <si>
    <r>
      <t>.</t>
    </r>
    <r>
      <rPr>
        <sz val="12"/>
        <color indexed="8"/>
        <rFont val="Calibri"/>
        <family val="2"/>
      </rPr>
      <t>North Carolina</t>
    </r>
  </si>
  <si>
    <r>
      <t>.</t>
    </r>
    <r>
      <rPr>
        <sz val="12"/>
        <color indexed="8"/>
        <rFont val="Calibri"/>
        <family val="2"/>
      </rPr>
      <t>North Dakota</t>
    </r>
  </si>
  <si>
    <r>
      <t>.</t>
    </r>
    <r>
      <rPr>
        <sz val="12"/>
        <color indexed="8"/>
        <rFont val="Calibri"/>
        <family val="2"/>
      </rPr>
      <t>Ohio</t>
    </r>
  </si>
  <si>
    <r>
      <t>.</t>
    </r>
    <r>
      <rPr>
        <sz val="12"/>
        <color indexed="8"/>
        <rFont val="Calibri"/>
        <family val="2"/>
      </rPr>
      <t>Oklahoma</t>
    </r>
  </si>
  <si>
    <r>
      <t>.</t>
    </r>
    <r>
      <rPr>
        <sz val="12"/>
        <color indexed="8"/>
        <rFont val="Calibri"/>
        <family val="2"/>
      </rPr>
      <t>Oregon</t>
    </r>
  </si>
  <si>
    <r>
      <t>.</t>
    </r>
    <r>
      <rPr>
        <sz val="12"/>
        <color indexed="8"/>
        <rFont val="Calibri"/>
        <family val="2"/>
      </rPr>
      <t>Pennsylvania</t>
    </r>
  </si>
  <si>
    <r>
      <t>.</t>
    </r>
    <r>
      <rPr>
        <sz val="12"/>
        <color indexed="8"/>
        <rFont val="Calibri"/>
        <family val="2"/>
      </rPr>
      <t>Rhode Island</t>
    </r>
  </si>
  <si>
    <r>
      <t>.</t>
    </r>
    <r>
      <rPr>
        <sz val="12"/>
        <color indexed="8"/>
        <rFont val="Calibri"/>
        <family val="2"/>
      </rPr>
      <t>South Carolina</t>
    </r>
  </si>
  <si>
    <r>
      <t>.</t>
    </r>
    <r>
      <rPr>
        <sz val="12"/>
        <color indexed="8"/>
        <rFont val="Calibri"/>
        <family val="2"/>
      </rPr>
      <t>South Dakota</t>
    </r>
  </si>
  <si>
    <r>
      <t>.</t>
    </r>
    <r>
      <rPr>
        <sz val="12"/>
        <color indexed="8"/>
        <rFont val="Calibri"/>
        <family val="2"/>
      </rPr>
      <t>Tennessee</t>
    </r>
  </si>
  <si>
    <r>
      <t>.</t>
    </r>
    <r>
      <rPr>
        <sz val="12"/>
        <color indexed="8"/>
        <rFont val="Calibri"/>
        <family val="2"/>
      </rPr>
      <t>Texas</t>
    </r>
  </si>
  <si>
    <r>
      <t>.</t>
    </r>
    <r>
      <rPr>
        <sz val="12"/>
        <color indexed="8"/>
        <rFont val="Calibri"/>
        <family val="2"/>
      </rPr>
      <t>Utah</t>
    </r>
  </si>
  <si>
    <r>
      <t>.</t>
    </r>
    <r>
      <rPr>
        <sz val="12"/>
        <color indexed="8"/>
        <rFont val="Calibri"/>
        <family val="2"/>
      </rPr>
      <t>Vermont</t>
    </r>
  </si>
  <si>
    <r>
      <t>.</t>
    </r>
    <r>
      <rPr>
        <sz val="12"/>
        <color indexed="8"/>
        <rFont val="Calibri"/>
        <family val="2"/>
      </rPr>
      <t>Virginia</t>
    </r>
  </si>
  <si>
    <r>
      <t>.</t>
    </r>
    <r>
      <rPr>
        <sz val="12"/>
        <color indexed="8"/>
        <rFont val="Calibri"/>
        <family val="2"/>
      </rPr>
      <t>Washington</t>
    </r>
  </si>
  <si>
    <r>
      <t>.</t>
    </r>
    <r>
      <rPr>
        <sz val="12"/>
        <color indexed="8"/>
        <rFont val="Calibri"/>
        <family val="2"/>
      </rPr>
      <t>West Virginia</t>
    </r>
  </si>
  <si>
    <r>
      <t>.</t>
    </r>
    <r>
      <rPr>
        <sz val="12"/>
        <color indexed="8"/>
        <rFont val="Calibri"/>
        <family val="2"/>
      </rPr>
      <t>Wisconsin</t>
    </r>
  </si>
  <si>
    <r>
      <t>.</t>
    </r>
    <r>
      <rPr>
        <sz val="12"/>
        <color indexed="8"/>
        <rFont val="Calibri"/>
        <family val="2"/>
      </rPr>
      <t>Wyoming</t>
    </r>
  </si>
  <si>
    <t>State Farmland to US Farmland</t>
  </si>
  <si>
    <t>State Population to US Population</t>
  </si>
  <si>
    <t>State Cost of Air Pollution, Agriculture (Million, constant $)</t>
  </si>
  <si>
    <t>GPI 1998 Anielski, M. &amp; Rowe, J. (1999). The Genuine Progress Indicator: 1998 Update (p. 16-18). San Francisco, CA: Redefining Progress.  Retrieved from http://www.anielski.com/Documents/US%20GPI%20methodology%20handbook.pdf</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</si>
  <si>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</si>
  <si>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</si>
  <si>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</si>
  <si>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</si>
  <si>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</si>
  <si>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</si>
  <si>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</si>
  <si>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</si>
  <si>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</si>
  <si>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</si>
  <si>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</si>
  <si>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</si>
  <si>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</si>
  <si>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</si>
  <si>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</si>
  <si>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</si>
  <si>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</si>
  <si>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</si>
  <si>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</si>
  <si>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</si>
  <si>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</si>
  <si>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</si>
  <si>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</si>
  <si>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</si>
  <si>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</si>
  <si>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</si>
  <si>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</si>
  <si>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</si>
  <si>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</si>
  <si>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</si>
  <si>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</si>
  <si>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</si>
  <si>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</si>
  <si>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</si>
  <si>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</si>
  <si>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</si>
  <si>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</si>
  <si>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</si>
  <si>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</si>
  <si>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</si>
  <si>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</si>
  <si>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</si>
  <si>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</si>
  <si>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</si>
  <si>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</si>
  <si>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</si>
  <si>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</si>
  <si>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</si>
  <si>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</si>
  <si>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</si>
  <si>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Indicator 26: Cost of Motor Vehicle Crashes</t>
  </si>
  <si>
    <r>
      <rPr>
        <sz val="10"/>
        <color indexed="14"/>
        <rFont val="Helvetica"/>
        <family val="2"/>
      </rPr>
      <t>.</t>
    </r>
    <r>
      <rPr>
        <sz val="12"/>
        <color indexed="8"/>
        <rFont val="Trebuchet MS"/>
        <family val="2"/>
      </rPr>
      <t>Alabama</t>
    </r>
  </si>
  <si>
    <r>
      <rPr>
        <sz val="10"/>
        <color indexed="14"/>
        <rFont val="Helvetica"/>
        <family val="2"/>
      </rPr>
      <t>.</t>
    </r>
    <r>
      <rPr>
        <sz val="12"/>
        <color indexed="8"/>
        <rFont val="Trebuchet MS"/>
        <family val="2"/>
      </rPr>
      <t>Alaska</t>
    </r>
  </si>
  <si>
    <r>
      <rPr>
        <sz val="10"/>
        <color indexed="14"/>
        <rFont val="Helvetica"/>
        <family val="2"/>
      </rPr>
      <t>.</t>
    </r>
    <r>
      <rPr>
        <sz val="12"/>
        <color indexed="8"/>
        <rFont val="Trebuchet MS"/>
        <family val="2"/>
      </rPr>
      <t>Arizona</t>
    </r>
  </si>
  <si>
    <r>
      <rPr>
        <sz val="10"/>
        <color indexed="14"/>
        <rFont val="Helvetica"/>
        <family val="2"/>
      </rPr>
      <t>.</t>
    </r>
    <r>
      <rPr>
        <sz val="12"/>
        <color indexed="8"/>
        <rFont val="Trebuchet MS"/>
        <family val="2"/>
      </rPr>
      <t>Arkansas</t>
    </r>
  </si>
  <si>
    <r>
      <rPr>
        <sz val="10"/>
        <color indexed="14"/>
        <rFont val="Helvetica"/>
        <family val="2"/>
      </rPr>
      <t>.</t>
    </r>
    <r>
      <rPr>
        <sz val="12"/>
        <color indexed="8"/>
        <rFont val="Trebuchet MS"/>
        <family val="2"/>
      </rPr>
      <t>California</t>
    </r>
  </si>
  <si>
    <r>
      <rPr>
        <sz val="10"/>
        <color indexed="14"/>
        <rFont val="Helvetica"/>
        <family val="2"/>
      </rPr>
      <t>.</t>
    </r>
    <r>
      <rPr>
        <sz val="12"/>
        <color indexed="8"/>
        <rFont val="Trebuchet MS"/>
        <family val="2"/>
      </rPr>
      <t>Colorado</t>
    </r>
  </si>
  <si>
    <r>
      <rPr>
        <sz val="10"/>
        <color indexed="14"/>
        <rFont val="Helvetica"/>
        <family val="2"/>
      </rPr>
      <t>.</t>
    </r>
    <r>
      <rPr>
        <sz val="12"/>
        <color indexed="8"/>
        <rFont val="Trebuchet MS"/>
        <family val="2"/>
      </rPr>
      <t>Connecticut</t>
    </r>
  </si>
  <si>
    <r>
      <rPr>
        <sz val="10"/>
        <color indexed="14"/>
        <rFont val="Helvetica"/>
        <family val="2"/>
      </rPr>
      <t>.</t>
    </r>
    <r>
      <rPr>
        <sz val="12"/>
        <color indexed="8"/>
        <rFont val="Trebuchet MS"/>
        <family val="2"/>
      </rPr>
      <t>Delaware</t>
    </r>
  </si>
  <si>
    <r>
      <rPr>
        <sz val="10"/>
        <color indexed="14"/>
        <rFont val="Helvetica"/>
        <family val="2"/>
      </rPr>
      <t>.</t>
    </r>
    <r>
      <rPr>
        <sz val="12"/>
        <color indexed="8"/>
        <rFont val="Trebuchet MS"/>
        <family val="2"/>
      </rPr>
      <t>Florida</t>
    </r>
  </si>
  <si>
    <r>
      <rPr>
        <sz val="10"/>
        <color indexed="14"/>
        <rFont val="Helvetica"/>
        <family val="2"/>
      </rPr>
      <t>.</t>
    </r>
    <r>
      <rPr>
        <sz val="12"/>
        <color indexed="8"/>
        <rFont val="Trebuchet MS"/>
        <family val="2"/>
      </rPr>
      <t>Georgia</t>
    </r>
  </si>
  <si>
    <r>
      <rPr>
        <sz val="10"/>
        <color indexed="14"/>
        <rFont val="Helvetica"/>
        <family val="2"/>
      </rPr>
      <t>.</t>
    </r>
    <r>
      <rPr>
        <sz val="12"/>
        <color indexed="8"/>
        <rFont val="Trebuchet MS"/>
        <family val="2"/>
      </rPr>
      <t>Hawaii</t>
    </r>
  </si>
  <si>
    <r>
      <rPr>
        <sz val="10"/>
        <color indexed="14"/>
        <rFont val="Helvetica"/>
        <family val="2"/>
      </rPr>
      <t>.</t>
    </r>
    <r>
      <rPr>
        <sz val="12"/>
        <color indexed="8"/>
        <rFont val="Trebuchet MS"/>
        <family val="2"/>
      </rPr>
      <t>Idaho</t>
    </r>
  </si>
  <si>
    <r>
      <rPr>
        <sz val="10"/>
        <color indexed="14"/>
        <rFont val="Helvetica"/>
        <family val="2"/>
      </rPr>
      <t>.</t>
    </r>
    <r>
      <rPr>
        <sz val="12"/>
        <color indexed="8"/>
        <rFont val="Trebuchet MS"/>
        <family val="2"/>
      </rPr>
      <t>Illinois</t>
    </r>
  </si>
  <si>
    <r>
      <rPr>
        <sz val="10"/>
        <color indexed="14"/>
        <rFont val="Helvetica"/>
        <family val="2"/>
      </rPr>
      <t>.</t>
    </r>
    <r>
      <rPr>
        <sz val="12"/>
        <color indexed="8"/>
        <rFont val="Trebuchet MS"/>
        <family val="2"/>
      </rPr>
      <t>Indiana</t>
    </r>
  </si>
  <si>
    <r>
      <rPr>
        <sz val="10"/>
        <color indexed="14"/>
        <rFont val="Helvetica"/>
        <family val="2"/>
      </rPr>
      <t>.</t>
    </r>
    <r>
      <rPr>
        <sz val="12"/>
        <color indexed="8"/>
        <rFont val="Trebuchet MS"/>
        <family val="2"/>
      </rPr>
      <t>Iowa</t>
    </r>
  </si>
  <si>
    <r>
      <rPr>
        <sz val="10"/>
        <color indexed="14"/>
        <rFont val="Helvetica"/>
        <family val="2"/>
      </rPr>
      <t>.</t>
    </r>
    <r>
      <rPr>
        <sz val="12"/>
        <color indexed="8"/>
        <rFont val="Trebuchet MS"/>
        <family val="2"/>
      </rPr>
      <t>Kansas</t>
    </r>
  </si>
  <si>
    <r>
      <rPr>
        <sz val="10"/>
        <color indexed="14"/>
        <rFont val="Helvetica"/>
        <family val="2"/>
      </rPr>
      <t>.</t>
    </r>
    <r>
      <rPr>
        <sz val="12"/>
        <color indexed="8"/>
        <rFont val="Trebuchet MS"/>
        <family val="2"/>
      </rPr>
      <t>Kentucky</t>
    </r>
  </si>
  <si>
    <r>
      <rPr>
        <sz val="10"/>
        <color indexed="14"/>
        <rFont val="Helvetica"/>
        <family val="2"/>
      </rPr>
      <t>.</t>
    </r>
    <r>
      <rPr>
        <sz val="12"/>
        <color indexed="8"/>
        <rFont val="Trebuchet MS"/>
        <family val="2"/>
      </rPr>
      <t>Louisiana</t>
    </r>
  </si>
  <si>
    <r>
      <rPr>
        <sz val="10"/>
        <color indexed="14"/>
        <rFont val="Helvetica"/>
        <family val="2"/>
      </rPr>
      <t>.</t>
    </r>
    <r>
      <rPr>
        <sz val="12"/>
        <color indexed="8"/>
        <rFont val="Trebuchet MS"/>
        <family val="2"/>
      </rPr>
      <t>Maine</t>
    </r>
  </si>
  <si>
    <r>
      <rPr>
        <sz val="10"/>
        <color indexed="14"/>
        <rFont val="Helvetica"/>
        <family val="2"/>
      </rPr>
      <t>.</t>
    </r>
    <r>
      <rPr>
        <sz val="12"/>
        <color indexed="8"/>
        <rFont val="Trebuchet MS"/>
        <family val="2"/>
      </rPr>
      <t>Maryland</t>
    </r>
  </si>
  <si>
    <r>
      <rPr>
        <sz val="10"/>
        <color indexed="14"/>
        <rFont val="Helvetica"/>
        <family val="2"/>
      </rPr>
      <t>.</t>
    </r>
    <r>
      <rPr>
        <sz val="12"/>
        <color indexed="8"/>
        <rFont val="Trebuchet MS"/>
        <family val="2"/>
      </rPr>
      <t>Massachusetts</t>
    </r>
  </si>
  <si>
    <r>
      <rPr>
        <sz val="10"/>
        <color indexed="14"/>
        <rFont val="Helvetica"/>
        <family val="2"/>
      </rPr>
      <t>.</t>
    </r>
    <r>
      <rPr>
        <sz val="12"/>
        <color indexed="8"/>
        <rFont val="Trebuchet MS"/>
        <family val="2"/>
      </rPr>
      <t>Michigan</t>
    </r>
  </si>
  <si>
    <r>
      <rPr>
        <sz val="10"/>
        <color indexed="14"/>
        <rFont val="Helvetica"/>
        <family val="2"/>
      </rPr>
      <t>.</t>
    </r>
    <r>
      <rPr>
        <sz val="12"/>
        <color indexed="8"/>
        <rFont val="Trebuchet MS"/>
        <family val="2"/>
      </rPr>
      <t>Minnesota</t>
    </r>
  </si>
  <si>
    <r>
      <rPr>
        <sz val="10"/>
        <color indexed="14"/>
        <rFont val="Helvetica"/>
        <family val="2"/>
      </rPr>
      <t>.</t>
    </r>
    <r>
      <rPr>
        <sz val="12"/>
        <color indexed="8"/>
        <rFont val="Trebuchet MS"/>
        <family val="2"/>
      </rPr>
      <t>Mississippi</t>
    </r>
  </si>
  <si>
    <r>
      <rPr>
        <sz val="10"/>
        <color indexed="14"/>
        <rFont val="Helvetica"/>
        <family val="2"/>
      </rPr>
      <t>.</t>
    </r>
    <r>
      <rPr>
        <sz val="12"/>
        <color indexed="8"/>
        <rFont val="Trebuchet MS"/>
        <family val="2"/>
      </rPr>
      <t>Missouri</t>
    </r>
  </si>
  <si>
    <r>
      <rPr>
        <sz val="10"/>
        <color indexed="14"/>
        <rFont val="Helvetica"/>
        <family val="2"/>
      </rPr>
      <t>.</t>
    </r>
    <r>
      <rPr>
        <sz val="12"/>
        <color indexed="8"/>
        <rFont val="Trebuchet MS"/>
        <family val="2"/>
      </rPr>
      <t>Montana</t>
    </r>
  </si>
  <si>
    <r>
      <rPr>
        <sz val="10"/>
        <color indexed="14"/>
        <rFont val="Helvetica"/>
        <family val="2"/>
      </rPr>
      <t>.</t>
    </r>
    <r>
      <rPr>
        <sz val="12"/>
        <color indexed="8"/>
        <rFont val="Trebuchet MS"/>
        <family val="2"/>
      </rPr>
      <t>Nebraska</t>
    </r>
  </si>
  <si>
    <r>
      <rPr>
        <sz val="10"/>
        <color indexed="14"/>
        <rFont val="Helvetica"/>
        <family val="2"/>
      </rPr>
      <t>.</t>
    </r>
    <r>
      <rPr>
        <sz val="12"/>
        <color indexed="8"/>
        <rFont val="Trebuchet MS"/>
        <family val="2"/>
      </rPr>
      <t>Nevada</t>
    </r>
  </si>
  <si>
    <r>
      <rPr>
        <sz val="10"/>
        <color indexed="14"/>
        <rFont val="Helvetica"/>
        <family val="2"/>
      </rPr>
      <t>.</t>
    </r>
    <r>
      <rPr>
        <sz val="12"/>
        <color indexed="8"/>
        <rFont val="Trebuchet MS"/>
        <family val="2"/>
      </rPr>
      <t>New Hampshire</t>
    </r>
  </si>
  <si>
    <r>
      <rPr>
        <sz val="10"/>
        <color indexed="14"/>
        <rFont val="Helvetica"/>
        <family val="2"/>
      </rPr>
      <t>.</t>
    </r>
    <r>
      <rPr>
        <sz val="12"/>
        <color indexed="8"/>
        <rFont val="Trebuchet MS"/>
        <family val="2"/>
      </rPr>
      <t>New Jersey</t>
    </r>
  </si>
  <si>
    <t>Wetland Area 2011 (adjusted from 2010, in thousands of acres)</t>
  </si>
  <si>
    <t>estimated 2011 wetlands = 2010 wetlands adjusted for annual losses and gains</t>
  </si>
  <si>
    <t>$914 in 2000$ converted to 2011$ using www.usinflationcalculator.com/</t>
  </si>
  <si>
    <t>Total Wetland Loss (thousands of acres)</t>
  </si>
  <si>
    <t>precolonial wetlands - estimated 2011 wetlands</t>
  </si>
  <si>
    <r>
      <rPr>
        <sz val="10"/>
        <color indexed="14"/>
        <rFont val="Helvetica"/>
        <family val="2"/>
      </rPr>
      <t>.</t>
    </r>
    <r>
      <rPr>
        <sz val="12"/>
        <color indexed="8"/>
        <rFont val="Trebuchet MS"/>
        <family val="2"/>
      </rPr>
      <t>Vermont</t>
    </r>
  </si>
  <si>
    <r>
      <rPr>
        <sz val="10"/>
        <color indexed="14"/>
        <rFont val="Helvetica"/>
        <family val="2"/>
      </rPr>
      <t>.</t>
    </r>
    <r>
      <rPr>
        <sz val="12"/>
        <color indexed="8"/>
        <rFont val="Trebuchet MS"/>
        <family val="2"/>
      </rPr>
      <t>Virginia</t>
    </r>
  </si>
  <si>
    <r>
      <rPr>
        <sz val="10"/>
        <color indexed="14"/>
        <rFont val="Helvetica"/>
        <family val="2"/>
      </rPr>
      <t>.</t>
    </r>
    <r>
      <rPr>
        <sz val="12"/>
        <color indexed="8"/>
        <rFont val="Trebuchet MS"/>
        <family val="2"/>
      </rPr>
      <t>Washington</t>
    </r>
  </si>
  <si>
    <r>
      <rPr>
        <sz val="10"/>
        <color indexed="14"/>
        <rFont val="Helvetica"/>
        <family val="2"/>
      </rPr>
      <t>.</t>
    </r>
    <r>
      <rPr>
        <sz val="12"/>
        <color indexed="8"/>
        <rFont val="Trebuchet MS"/>
        <family val="2"/>
      </rPr>
      <t>West Virginia</t>
    </r>
  </si>
  <si>
    <r>
      <rPr>
        <sz val="10"/>
        <color indexed="14"/>
        <rFont val="Helvetica"/>
        <family val="2"/>
      </rPr>
      <t>.</t>
    </r>
    <r>
      <rPr>
        <sz val="12"/>
        <color indexed="8"/>
        <rFont val="Trebuchet MS"/>
        <family val="2"/>
      </rPr>
      <t>Wisconsin</t>
    </r>
  </si>
  <si>
    <r>
      <rPr>
        <sz val="10"/>
        <color indexed="14"/>
        <rFont val="Helvetica"/>
        <family val="2"/>
      </rPr>
      <t>.</t>
    </r>
    <r>
      <rPr>
        <sz val="12"/>
        <color indexed="8"/>
        <rFont val="Trebuchet MS"/>
        <family val="2"/>
      </rPr>
      <t>Wyoming</t>
    </r>
  </si>
  <si>
    <t>Cost of Motor Vehicle Crashes (Billion 2011 $)</t>
  </si>
  <si>
    <t>Total Fatalities from Motor Vehicle Crashes</t>
  </si>
  <si>
    <t>Cost of Motor Vehicle Crash Fatality</t>
  </si>
  <si>
    <t>Percentage of Crashes (Fatalities), 2011</t>
  </si>
  <si>
    <t>Number of Injuries from Motor Vehicle Crashes (estimated)</t>
  </si>
  <si>
    <t>Percentage of Crashes (Injuries), 2011</t>
  </si>
  <si>
    <t>Cost of Motor Vehicle Injury</t>
  </si>
  <si>
    <t>Percentage of Crashes (Property Damage Only), 2011</t>
  </si>
  <si>
    <t>Number of Motor Vehicle Crashes with Property Damage Only (estimated)</t>
  </si>
  <si>
    <t>Cost of Property Damage for Motor Vehicle Crashes</t>
  </si>
  <si>
    <t>Same as 4</t>
  </si>
  <si>
    <t>Calculated from rows 4 and 5</t>
  </si>
  <si>
    <t>Same as 5</t>
  </si>
  <si>
    <t>Calculated from rows 8 and 9</t>
  </si>
  <si>
    <t>Billions of 2011 $</t>
  </si>
  <si>
    <t>Cost of Personal Pollution Abatement (Billion 2011 $)</t>
  </si>
  <si>
    <t>Household Units Served by Sewer (1990)</t>
  </si>
  <si>
    <t>% Household Units Served by Sewer (1990)</t>
  </si>
  <si>
    <t>% Household Units with Septic Systems (1990)</t>
  </si>
  <si>
    <t>Total Housing Units 2011</t>
  </si>
  <si>
    <t>Total Housing Units 2010</t>
  </si>
  <si>
    <t>Household Units Served by Sewer, Calculated (2011)</t>
  </si>
  <si>
    <t>Household Units with Septic Systems, Calculated (2011)</t>
  </si>
  <si>
    <t>Household Units with Septic Systems, Calculated (2010)</t>
  </si>
  <si>
    <t>U.S. Department of Transportation, Federal Highway Administration (2013). Highway Statistics Series, Table MV-1, State Motor-Vehicle Registrations, all states, All Motor Vehicles, Total (rev. March 2013). Retrieved March 9, 2014 from http://www.fhwa.dot.gov/policyinformation/statistics/2011/mv1.cfm</t>
  </si>
  <si>
    <t>Divorce Rate (per 1000)</t>
  </si>
  <si>
    <t>Average # of Children Per Divorce (US)</t>
  </si>
  <si>
    <t>http://www.anielski.com/Documents/US%20GPI%20methodology%20handbook.pdf</t>
  </si>
  <si>
    <t>Direct Cost to Adults per Divorce</t>
  </si>
  <si>
    <t>Total Cost to Adults</t>
  </si>
  <si>
    <t>TV Hours Per Year Per Household</t>
  </si>
  <si>
    <t>Hours of TV Watching By Year</t>
  </si>
  <si>
    <t>Social Cost of TV Viewing (Per Hour)</t>
  </si>
  <si>
    <r>
      <t xml:space="preserve">Environmental Protection Agency (2009). </t>
    </r>
    <r>
      <rPr>
        <i/>
        <sz val="11"/>
        <color indexed="8"/>
        <rFont val="Arial"/>
        <family val="2"/>
      </rPr>
      <t xml:space="preserve">Municipal Solid Waste Generation, Recycling, and Disposal in the United States: Facts and Figures for 2009 </t>
    </r>
    <r>
      <rPr>
        <sz val="11"/>
        <color indexed="8"/>
        <rFont val="Arial"/>
        <family val="2"/>
      </rPr>
      <t xml:space="preserve">(p. 5-9). Retrieved June 14, 2013 from </t>
    </r>
    <r>
      <rPr>
        <sz val="11"/>
        <color indexed="48"/>
        <rFont val="Arial"/>
        <family val="2"/>
      </rPr>
      <t>http://www.epa.gov/wastes/nonhaz/municipal/pubs/msw2009-fs.pdf</t>
    </r>
  </si>
  <si>
    <t>Data Sources &amp; notes</t>
  </si>
  <si>
    <t>Millions of 2011 $</t>
  </si>
  <si>
    <t>Adjusted Personal Consumption Expenditure</t>
  </si>
  <si>
    <t>Calculated based on estimates of stocks of consumer durables (line 2) discounted with an assumed 8-year service life and using the information in lines 3-5.</t>
  </si>
  <si>
    <t xml:space="preserve">Unemployment rates are reported by the Bureau of Labor Statistics (2012). </t>
  </si>
  <si>
    <t>Refers to   category "U"  from "Alternative Measures of Labor Underutilization for States"  The unemployment and underemployment rates are used to calculate unprovided hours by multiplying by a fator equal to  ((803*(1.0059^22). This factor comes from  and interpretation of Leete-Guy and Schor (1992) used in the GPI calculations for Maryland and Vermont.</t>
  </si>
  <si>
    <t>Line 3 multipled by line 4</t>
  </si>
  <si>
    <t xml:space="preserve"> (Gross Private Domestic Invsetment - Consumption of fixed Capital) 5.2.5 Line 6</t>
  </si>
  <si>
    <t>Net Capital Investment, billions of 2011 $</t>
  </si>
  <si>
    <t>US National Net Capital Investment, billions of 2011  $</t>
  </si>
  <si>
    <t>Percentage of National population</t>
  </si>
  <si>
    <t>Net Capital Investment is  Gross private domestic instement, less consumption of fixed capital. U.S. National Private Capital Investment, reported in  B.E.A. NIPA  Table 5.2.5., line</t>
  </si>
  <si>
    <t>Line 2  multiplied by proportions of national population. Thus, this indicator implicitly assumes a constant rate of Net  Private Capital Investment per person, on aggregate, across the states.</t>
  </si>
  <si>
    <t>Calculated from population data from the U.S. Census Bureau</t>
  </si>
  <si>
    <r>
      <rPr>
        <sz val="10"/>
        <color indexed="14"/>
        <rFont val="Helvetica"/>
        <family val="2"/>
      </rPr>
      <t>.</t>
    </r>
    <r>
      <rPr>
        <sz val="12"/>
        <color indexed="8"/>
        <rFont val="Trebuchet MS"/>
        <family val="2"/>
      </rPr>
      <t>New Mexico</t>
    </r>
  </si>
  <si>
    <r>
      <rPr>
        <sz val="10"/>
        <color indexed="14"/>
        <rFont val="Helvetica"/>
        <family val="2"/>
      </rPr>
      <t>.</t>
    </r>
    <r>
      <rPr>
        <sz val="12"/>
        <color indexed="8"/>
        <rFont val="Trebuchet MS"/>
        <family val="2"/>
      </rPr>
      <t>New York</t>
    </r>
  </si>
  <si>
    <r>
      <rPr>
        <sz val="10"/>
        <color indexed="14"/>
        <rFont val="Helvetica"/>
        <family val="2"/>
      </rPr>
      <t>.</t>
    </r>
    <r>
      <rPr>
        <sz val="12"/>
        <color indexed="8"/>
        <rFont val="Trebuchet MS"/>
        <family val="2"/>
      </rPr>
      <t>North Carolina</t>
    </r>
  </si>
  <si>
    <r>
      <rPr>
        <sz val="10"/>
        <color indexed="14"/>
        <rFont val="Helvetica"/>
        <family val="2"/>
      </rPr>
      <t>.</t>
    </r>
    <r>
      <rPr>
        <sz val="12"/>
        <color indexed="8"/>
        <rFont val="Trebuchet MS"/>
        <family val="2"/>
      </rPr>
      <t>North Dakota</t>
    </r>
  </si>
  <si>
    <r>
      <rPr>
        <sz val="10"/>
        <color indexed="14"/>
        <rFont val="Helvetica"/>
        <family val="2"/>
      </rPr>
      <t>.</t>
    </r>
    <r>
      <rPr>
        <sz val="12"/>
        <color indexed="8"/>
        <rFont val="Trebuchet MS"/>
        <family val="2"/>
      </rPr>
      <t>Ohio</t>
    </r>
  </si>
  <si>
    <r>
      <rPr>
        <sz val="10"/>
        <color indexed="14"/>
        <rFont val="Helvetica"/>
        <family val="2"/>
      </rPr>
      <t>.</t>
    </r>
    <r>
      <rPr>
        <sz val="12"/>
        <color indexed="8"/>
        <rFont val="Trebuchet MS"/>
        <family val="2"/>
      </rPr>
      <t>Oklahoma</t>
    </r>
  </si>
  <si>
    <r>
      <rPr>
        <sz val="10"/>
        <color indexed="14"/>
        <rFont val="Helvetica"/>
        <family val="2"/>
      </rPr>
      <t>.</t>
    </r>
    <r>
      <rPr>
        <sz val="12"/>
        <color indexed="8"/>
        <rFont val="Trebuchet MS"/>
        <family val="2"/>
      </rPr>
      <t>Oregon</t>
    </r>
  </si>
  <si>
    <r>
      <rPr>
        <sz val="10"/>
        <color indexed="14"/>
        <rFont val="Helvetica"/>
        <family val="2"/>
      </rPr>
      <t>.</t>
    </r>
    <r>
      <rPr>
        <sz val="12"/>
        <color indexed="8"/>
        <rFont val="Trebuchet MS"/>
        <family val="2"/>
      </rPr>
      <t>Pennsylvania</t>
    </r>
  </si>
  <si>
    <r>
      <rPr>
        <sz val="10"/>
        <color indexed="14"/>
        <rFont val="Helvetica"/>
        <family val="2"/>
      </rPr>
      <t>.</t>
    </r>
    <r>
      <rPr>
        <sz val="12"/>
        <color indexed="8"/>
        <rFont val="Trebuchet MS"/>
        <family val="2"/>
      </rPr>
      <t>Rhode Island</t>
    </r>
  </si>
  <si>
    <r>
      <rPr>
        <sz val="10"/>
        <color indexed="14"/>
        <rFont val="Helvetica"/>
        <family val="2"/>
      </rPr>
      <t>.</t>
    </r>
    <r>
      <rPr>
        <sz val="12"/>
        <color indexed="8"/>
        <rFont val="Trebuchet MS"/>
        <family val="2"/>
      </rPr>
      <t>South Carolina</t>
    </r>
  </si>
  <si>
    <r>
      <rPr>
        <sz val="10"/>
        <color indexed="14"/>
        <rFont val="Helvetica"/>
        <family val="2"/>
      </rPr>
      <t>.</t>
    </r>
    <r>
      <rPr>
        <sz val="12"/>
        <color indexed="8"/>
        <rFont val="Trebuchet MS"/>
        <family val="2"/>
      </rPr>
      <t>South Dakota</t>
    </r>
  </si>
  <si>
    <r>
      <rPr>
        <sz val="10"/>
        <color indexed="14"/>
        <rFont val="Helvetica"/>
        <family val="2"/>
      </rPr>
      <t>.</t>
    </r>
    <r>
      <rPr>
        <sz val="12"/>
        <color indexed="8"/>
        <rFont val="Trebuchet MS"/>
        <family val="2"/>
      </rPr>
      <t>Tennessee</t>
    </r>
  </si>
  <si>
    <r>
      <rPr>
        <sz val="10"/>
        <color indexed="14"/>
        <rFont val="Helvetica"/>
        <family val="2"/>
      </rPr>
      <t>.</t>
    </r>
    <r>
      <rPr>
        <sz val="12"/>
        <color indexed="8"/>
        <rFont val="Trebuchet MS"/>
        <family val="2"/>
      </rPr>
      <t>Texas</t>
    </r>
  </si>
  <si>
    <r>
      <rPr>
        <sz val="10"/>
        <color indexed="14"/>
        <rFont val="Helvetica"/>
        <family val="2"/>
      </rPr>
      <t>.</t>
    </r>
    <r>
      <rPr>
        <sz val="12"/>
        <color indexed="8"/>
        <rFont val="Trebuchet MS"/>
        <family val="2"/>
      </rPr>
      <t>Utah</t>
    </r>
  </si>
  <si>
    <t>Calculated from population data from US Census Bureau</t>
  </si>
  <si>
    <t>Forest Cover Change (Thousand Acres)</t>
  </si>
  <si>
    <t>Total acres in state (thousands of acres)</t>
  </si>
  <si>
    <t>Total square miles in State</t>
  </si>
  <si>
    <t>Conversion from line 6</t>
  </si>
  <si>
    <t>Reported by USDA National Agriculture Statistics Service (this line require for Indicator 9)</t>
  </si>
  <si>
    <t>Based on references used in Maryland (2011) and Vermont (2013)  GPI studies, namely: Talberth, J., Cobb, C. and Slattery, N. (2007). The Genuine Progress Indicator 2006: A Tool for Sustainable Development (p. 17). Oakland, CA: Redefining Progress. (Retrieved July 15, 2013 from http://web.pdx.edu/~kub/publicfiles/MeasuringWellBeing/Talberth_2006_GPI.pdf) and Tol, R. S. J. (2005). The marginal damage costs of carbon dioxide emissions: an assessment of the uncertainties. Energy Policy, 33, 2064-2074 (Retrieved August 15, 2013 from ftp://131.252.97.79/Transfer/ES_Pubs/ESVal/carbon_val/tolpaper.pdf).</t>
  </si>
  <si>
    <t>Reported by US EIA Note: Disctrict of Columbia listed at 0, EIA says " Value less than +0.05 and greater than -0.05 trillion Btu"</t>
  </si>
  <si>
    <t>Note: Sum of State Numbers does not equal US numbers</t>
  </si>
  <si>
    <t>Note: Number for State emissions of CO2 are also available - would be simple to convert consumption to production of CO2</t>
  </si>
  <si>
    <t>Note: Disctrict of Columbia listed at 0, EIA says " Value less than +0.05 and greater than -0.05 trillion Btu"</t>
  </si>
  <si>
    <t>Calculated Based on EIA Consumption Data using factors as applied in Maryland (2011) and Vermont (2013) GPI studies</t>
  </si>
  <si>
    <t>Population (2011)</t>
  </si>
  <si>
    <t>Each State's proportion oftotal U.S  miles of  highways (line 4)</t>
  </si>
  <si>
    <t>A value for services of national stock of highways and streets is retrieved from USBEA NIPA Table 7.1</t>
  </si>
  <si>
    <t>Ratio in line 6 multiplied by value in line 3</t>
  </si>
  <si>
    <t>2010-2011:
U.S. Census Bureau, American FactFinder (2011). Table DP04, Selected Housing Characteristics--2011 American Community Survey 1-Year Estimates. Retrieved March 14, 2014 from http://factfinder2.census.gov/bkmk/table/1.0/en/ACS/11_1YR/DP04/0400000US50</t>
  </si>
  <si>
    <t>Calculated as (State population 25 and older) multiplied by (Percent of State Population 25 and older with Bachelor Degree or Higher)</t>
  </si>
  <si>
    <t>The proportion of the population 25 years or older (reported by th Census Bureau) is  multiplied by  16000 in 2000 $. The value is  based on 2 references: Hill, K., Hoffman. D., &amp; Rex T. R. (2005)  [http://wpcarey.asu.edu/seid/upload/Value%20Full%20Report_final_october%202005a.pdf] and Talberth, J., Cobb, C. and Slattery, N. (2007)
[http://web.pdx.edu/~kub/publicfiles/MeasuringWellBeing/Talberth_2006_GPI.pdf]</t>
  </si>
  <si>
    <t>Data taken from BEA calculations, made for 2011 on experimental basis: http://www.bea.gov/scb/pdf/2013/08%20August/0813_pce_by_state.pdf</t>
  </si>
  <si>
    <t>Calculated as estimated spending on consumer durables in the current year (2001) based on statistics on income and consumption expenditure.</t>
  </si>
  <si>
    <t>EPA 8-hour ozone exceeding days per year are used as a proxy for the presence of air pollution. The value of air pollution is calculated as the sum of damage costs from impact on agriculture, material, cleaning, urban, aesthetics, and forest. The damage cost estimates are based on a study by Freeman (1982) and the damage cost scaling methods are applied based on Costanza et al. (2004). The cost of air pollution is calculated as the number of state 8-hour ozone exceeding days per year multiplied by the damage cost per ozone exceeding day in the same year.</t>
  </si>
  <si>
    <t>Average wage rate, calculated</t>
  </si>
  <si>
    <t>Calculated, Row 9 Multiplied by Row 7</t>
  </si>
  <si>
    <t>Calculated as explained below</t>
    <phoneticPr fontId="0" type="noConversion"/>
  </si>
  <si>
    <t>Row 8 divided by 52 wks/y2 divided by 40 hrs/wk</t>
  </si>
  <si>
    <t>Total unprovided hours (line 8)  multiplied by average wage rate (line 6), converted to billions of $.</t>
  </si>
  <si>
    <t>Total Farmland Acreage (thousands acres)</t>
  </si>
  <si>
    <t>2011 Total State Farmland Acreage (thousand acres)</t>
  </si>
  <si>
    <t>see data source 2</t>
    <phoneticPr fontId="0" type="noConversion"/>
  </si>
  <si>
    <t>Ratio of State Forest Area to US Forest</t>
  </si>
  <si>
    <t>Calculated from data used in Indicator 13</t>
  </si>
  <si>
    <t>Calculated from data used in Indicator 12</t>
  </si>
  <si>
    <t>Following the practice of the Maryland (2011) and Vermon (2013) GPI studies, values per accident from the National Safety Council (NSC) Injury Facts 2011 were used.  The 2011 calculations by the NSC show a cost of $1,420,000 per death, $78,700 per injury, and $9,100 in property damage per accident.Average Economic Cost per Death, Injury, or Crash, 2011. http://www.nsc.org/news_resources/injury_and_death_statistics/Pages/EstimatingtheCostsofUnintentionalInjuries.aspx</t>
  </si>
  <si>
    <t>Reported in Table 1 Crashes by Crash Severity, 1988-2011, from Department of Transportation (http://www-nrd.nhtsa.dot.gov/Pubs/811754AR.pdf)</t>
  </si>
  <si>
    <t>Sum of costs from fatalaties, injuries and propert damges caused by motor vehicle crashes (line 3+line7+line10)</t>
  </si>
  <si>
    <t xml:space="preserve">Calculated based on 2011 national crash severity rates (http://www-nrd.nhtsa.dot.gov/Pubs/811754AR.pdf), using known fatality number as base to estimate injury and PDO totals (also from FARS--http://www-fars.nhtsa.dot.gov/States/StatesCrashesAndAllVictims.aspx).
</t>
  </si>
  <si>
    <t>US Census Bureau Fact-Finder Table, ACS 2011 1-year estimates for Means of Transportation to Work, retrieved from: http://factfinder2.census.gov/faces/tableservices/jsf/pages/productview.xhtml?pid=ACS_11_1YR_B08301&amp;prodType=table</t>
  </si>
  <si>
    <t>Cost of Air Pollution in State (Billion 2011 $)</t>
  </si>
  <si>
    <t>http://www.cdc.gov/nchs/data/dvs/divorce_rates_90_95_99-11.pdf National average used for CA, GA, HI, IN, KY, LA, and MN http://www.cdc.gov/nchs/nvss/marriage_divorce_tables.htm</t>
  </si>
  <si>
    <t>Divorce rate (line 3) times  average number of children per divorce (line 4)</t>
  </si>
  <si>
    <t>Number of Divorces</t>
  </si>
  <si>
    <t>Estimated Childreen affected (line 6) times  valuation of cost of divorce on a  child (line 7)</t>
  </si>
  <si>
    <t>Valuation of Cost of Divorce on a Child</t>
  </si>
  <si>
    <t>5-year  (2007-2011) estimate for mean commute time, retrieved from Population Reference Bureau, http://www.prb.org/DataFinder/Topic/Rankings.aspx?ind=129</t>
  </si>
  <si>
    <t>Calculated as (State population 25 and older) divided by (State population)</t>
  </si>
  <si>
    <t>US Census Bureau, http://www.census.gov/population/socdemo/hh-fam/tabST-F1-2000.pdf</t>
  </si>
  <si>
    <t>Rate of change of houeholds with children (Vermont)</t>
  </si>
  <si>
    <t>Households with children (2000)</t>
  </si>
  <si>
    <t>Households with children (2011)</t>
  </si>
  <si>
    <t>Rate of change of households to households with children from 2000 to 2011, according to Vermont GPI study (2013)</t>
  </si>
  <si>
    <t>Estimated from 2000 data using rate of change for Vermont (line 13)</t>
  </si>
  <si>
    <t>Calculated as number of households with children (line 14) times TV hours per year per household (line 11)</t>
  </si>
  <si>
    <t>Cost of Family Breakdown B(billions of 2011 $)</t>
  </si>
  <si>
    <t>US Census Bureau, see' GPI' sheet</t>
  </si>
  <si>
    <t>Calculated as sum of cost of children affected by divorce (line 7), direct costs to adults from divorce (line 9) and cost of television viewing (line 17)</t>
  </si>
  <si>
    <t>national CPI</t>
  </si>
  <si>
    <t>Natl'</t>
  </si>
  <si>
    <t>Adjusted for inflation by region: (1982-1984=100, src. BLS)</t>
  </si>
  <si>
    <t>Value of Housework in State, Billions</t>
  </si>
  <si>
    <t>Hours per day spent on household activities, ATUS</t>
  </si>
  <si>
    <t>Hours of Household labor per person per year</t>
  </si>
  <si>
    <t>State Population 14 and under</t>
  </si>
  <si>
    <t>Proportion State population 14 and under</t>
  </si>
  <si>
    <t>Bureau of Labor Statistics: American Time Use Survey, Table A-1. Retrieved June 13, 2013 from http://www.bls.gov/tus/tables.htm.</t>
  </si>
  <si>
    <t>Bureau of Labor Statistics (n.d.) American Time Use Survey, Table A-1, Time spent in detailed primary activities and percent of the civilian population engaging in each detailed primary activity category, averages per day by sex, “Caring for and helping household members”, total average hours per day, civilian population. Retrieved June 13, 2013 from http://www.bls.gov/tus/tables.htm.</t>
    <phoneticPr fontId="0" type="noConversion"/>
  </si>
  <si>
    <t>Reported  by Department of TransportationFARS 2011 (http://www-fars.nhtsa.dot.gov/States/StatesCrashesAndAllVictims.aspx)</t>
  </si>
  <si>
    <t>Hours per day (line 4) times 365</t>
  </si>
  <si>
    <t>U.S. Census Bureau, see 'GPI' sheet</t>
  </si>
  <si>
    <t>U.S Census Bureau, American Communities Survey (ACS), 2011, Table DP05</t>
  </si>
  <si>
    <t>Ratio of line 7 to line 6.</t>
  </si>
  <si>
    <t>Calculated based on 1-ratio in line 8.</t>
  </si>
  <si>
    <t>Population 15 and over (line9 ) times time spent on housework (line 5)</t>
  </si>
  <si>
    <t>Total State Household Labor hours</t>
  </si>
  <si>
    <t>State Population 15 and over</t>
  </si>
  <si>
    <t>Work hours per day</t>
  </si>
  <si>
    <t>Bureau of Labor Statistics (n.d.) American Time Use Survey, Table A-1: Time spent in detailed primary activities, and percent of the civilian population engaging in each detailed activity category, averages per day by sex. Retrieved June 14th, 2013 from http://www.bls.gov/tus/#tables.</t>
  </si>
  <si>
    <t>Labour Force Population</t>
  </si>
  <si>
    <t>Underemployment rate</t>
  </si>
  <si>
    <t>From indicator 6, line 3</t>
  </si>
  <si>
    <t>Calculated as  (100-line)times line 4</t>
  </si>
  <si>
    <t>Total hours of leisure time lost</t>
  </si>
  <si>
    <t>Average Wage Rate</t>
  </si>
  <si>
    <t xml:space="preserve">Based on Lost Leisure Time per Unconstrained Worker (Year with most leisure):
From GPI Vermont study (2013), which cites as reference: Talberth, J., Cobb, C. and Slattery, N. (2007). The Genuine Progress Indicator 2006: A Tool for Sustainable Development (p. 11). Oakland, CA: Redefining Progress. Retrieved July 15, 2013 from http://web.pdx.edu/~kub/publicfiles/MeasuringWellBeing/Talberth_2006_GPI.pdf
</t>
  </si>
  <si>
    <t>Cost of Crime (Billion 2000 $)</t>
  </si>
  <si>
    <t>Number of Murders</t>
  </si>
  <si>
    <t xml:space="preserve">Number of Rapes </t>
  </si>
  <si>
    <t>Number of Robberies</t>
  </si>
  <si>
    <t xml:space="preserve">Number of Aggravated Assaults </t>
  </si>
  <si>
    <t xml:space="preserve">Number of Break-And-Enters </t>
  </si>
  <si>
    <t xml:space="preserve">Number of Larceny Thefts </t>
  </si>
  <si>
    <t xml:space="preserve">Number of Motor Vehicle Thefts </t>
  </si>
  <si>
    <t>Cost of Rapes</t>
  </si>
  <si>
    <t>Cost of Robberies</t>
    <phoneticPr fontId="4" type="noConversion"/>
  </si>
  <si>
    <t>Cost of Aggravated Assaults</t>
    <phoneticPr fontId="4" type="noConversion"/>
  </si>
  <si>
    <t>Cost of Break-And-Enters</t>
    <phoneticPr fontId="4" type="noConversion"/>
  </si>
  <si>
    <t>Methodology used form 2012 GPI study. Nielson Media Research, consumer usage reports for 2007-2011 - does not include video watched over internet on computers or mobile devices</t>
  </si>
  <si>
    <t>Number of divorces (line 4) times direct cost to adults (line 9)</t>
  </si>
  <si>
    <t>Estimated Children Affected</t>
  </si>
  <si>
    <t>Total Cost of Children Affected</t>
  </si>
  <si>
    <t>UnitCost of Larceny Thefts (2011 $)</t>
  </si>
  <si>
    <t>Unit Cost of Motor Vehicle Thefts (2011 $)</t>
  </si>
  <si>
    <t xml:space="preserve"> Cost of Murders (billions of 20111 $)</t>
  </si>
  <si>
    <t>Disastercenter.com, http://www.disastercenter.com/crime/</t>
  </si>
  <si>
    <t>Maryland Genuine Progress Indicator (2010). An Index for Sustainable Prosperity (Indicator 19, Methodology Notes). Retrieved July 23, 2013 from www.green.maryland.gov/mdgpi (see Accompanying Text for notes)</t>
  </si>
  <si>
    <t>Sum of the Vicitm Costs of each Crime (lines 16-23)</t>
  </si>
  <si>
    <t xml:space="preserve"> Following Maryland (2011) and Vermont (2013) GPI studies, values based on U.S Department of Justice (1996) "Victim Costs and Consequences:
A New Look",   https://www.ncjrs.gov/pdffiles/victcost.pdf</t>
  </si>
  <si>
    <t>Number of incidents (line 3) times Unit cost (line 10)</t>
  </si>
  <si>
    <t>Number of incidents (line 2) times Unit cost (line 9)</t>
  </si>
  <si>
    <t>Number of incidents (line 4) times Unit cost (line 11)</t>
  </si>
  <si>
    <t>Number of incidents (line 5) times Unit cost (line 12)</t>
  </si>
  <si>
    <t>Number of incidents (line 6) times Unit cost (line 13)</t>
  </si>
  <si>
    <t>Number of incidents (line 7) times Unit cost (line 14)</t>
  </si>
  <si>
    <t>Number of incidents (line 8) times Unit cost (line 15)</t>
  </si>
  <si>
    <t>Total rivers and streams degraded (miles)</t>
  </si>
  <si>
    <t>US EPA Water Quality Assessment andTotal Maximum Daily Loads Informatio, http://www.epa.gov/waters/ir/</t>
  </si>
  <si>
    <t>Total rivers and streams assessed (miles)</t>
  </si>
  <si>
    <t>Total lakes and ponds degraded (acres)</t>
  </si>
  <si>
    <t>Total lakes and ponds assessed (acres)</t>
  </si>
  <si>
    <t>Ratio of rivers and streams degraded</t>
  </si>
  <si>
    <t>Ratio of lakes and ponds degraded</t>
  </si>
  <si>
    <t>Ratio of line 2 and line 3</t>
  </si>
  <si>
    <t>Ratio of line 4 and line 5</t>
  </si>
  <si>
    <t>Average  ratio of degraded water bodies</t>
  </si>
  <si>
    <t>Averae of Line 6 and Line 7</t>
  </si>
  <si>
    <t>Average Per Capita Value for Non-Degraded Water Body  (2011 $)</t>
  </si>
  <si>
    <t>State Housekeeping cleaners wage (line 18) times total Household labor hours (line 11)</t>
  </si>
  <si>
    <t>Sum of time spent on houshold activities  (line 2) and caring for household members (line3)</t>
  </si>
  <si>
    <t>Hours per day spent on caring for and helping family members</t>
  </si>
  <si>
    <t>Hours per day spent on household activities and family care</t>
  </si>
  <si>
    <t>Value applied in Vemont (2013) GPI study, with following reference: 2004: Talberth, J., Cobb, C. and Slattery, N. (2007). The Genuine Progress Indicator 2006: A Tool for Sustainable Development (p. 18). Oakland, CA: Redefining Progress. Retrieved July 15, 2013 from http://web.pdx.edu/~kub/publicfiles/MeasuringWellBeing/Talberth_2006_GPI.pdf</t>
  </si>
  <si>
    <t xml:space="preserve">Ratio of State to National population </t>
  </si>
  <si>
    <t>Value of Forest Services (2011 $)</t>
  </si>
  <si>
    <t>Cost of Net Forest Cover Change (Billions of 2011 $)</t>
  </si>
  <si>
    <t>State Forest Cover, 2011 (Thousand Acres)</t>
  </si>
  <si>
    <t>Calculated from line 5 and line 7,  Alaska,  Hawaii and USA total from: The Timber Supply of the United States by R.S. Kellogg, USDA,  http://www.fia.fs.fed.us/slides/Trend-data/Web%20Historic%20Spreadsheets/1630_2000_US_pop_and_forestarea.xls</t>
  </si>
  <si>
    <t>Underemployed Persons</t>
  </si>
  <si>
    <t>State Average Wage Rate, 2011 $</t>
  </si>
  <si>
    <t>Calculated based on  factor ((803*(1.0059^2)), based on method used in  GPI studies for Maryland (2011) and Vermont (2013), reference is: Leete-Guy and Schor, "The Great Amefrican Time Squeeze", Economic Policy Institute Briefing Paper</t>
  </si>
  <si>
    <t>Number of ozone exceeding days  (line 2) multiplied by estimated average damage costs per day, as calculated in lines 3-10</t>
  </si>
  <si>
    <t>Line 9 divided by 365</t>
  </si>
  <si>
    <t>Line 2 converted from millions to billions of 2011 $</t>
  </si>
  <si>
    <t>Gini coefficient divided  by base year (1969) value (Line 3)</t>
  </si>
  <si>
    <t>1969 Gini coefficient  (State specific base year Gini is not used), US Census Bureau, Family Gini for 1969, http://www.census.gov/hhes/www/income/data/historical/state/state4.html</t>
  </si>
  <si>
    <t>Reported from American Community Survey, 2011, http://factfinder2.census.gov/faces/tableservices/jsf/pages/productview.xhtml?src=bkmk</t>
  </si>
  <si>
    <t>Gini, 2011</t>
  </si>
  <si>
    <t>Base Year Gini, 1969</t>
  </si>
  <si>
    <t>Cost of Larceny Thefts</t>
    <phoneticPr fontId="4" type="noConversion"/>
  </si>
  <si>
    <t>Cost of Motor Vehicle Thefts</t>
    <phoneticPr fontId="4" type="noConversion"/>
  </si>
  <si>
    <t>Unit Cost of Murders (2011 $)</t>
  </si>
  <si>
    <t>UnitCost of Rapes (2011 $)</t>
  </si>
  <si>
    <t>UnitCost of Robberies (2011 $)</t>
  </si>
  <si>
    <t>Unit Cost of Aggravated Assaults (2011 $)</t>
  </si>
  <si>
    <t>Unit Cost of Break-And-Enters (2011 $)</t>
  </si>
  <si>
    <t xml:space="preserve">Estimated based on statistics on personal income  and  consumer durables spending during last 8 years (see complete data below). Personal Income data is from U.S. BEA NIPA tables.   Cost of  consumer durables is estimated based on the national  percentage of personal income spent on durables in each yar of the 6 year period. These values are converted to 2011 $ using the regional measures for CPI  (1982-1984=100) from the Bureau of Labour Statistics (BLS).  </t>
  </si>
  <si>
    <t>Interest Rate added to the Depreciation Rate of Consumer Durables</t>
  </si>
  <si>
    <t>Taken from 2012 Vermont GPI calculation (rate for esimating opportunity cost of capital)</t>
  </si>
  <si>
    <t>Depreciation rate assuming 8 year useful life span</t>
  </si>
  <si>
    <t>National UrbanPopulation</t>
  </si>
  <si>
    <t>Ratio of State to national urban populations</t>
  </si>
  <si>
    <t>Ratio of State  to National Urban Population</t>
  </si>
  <si>
    <t>Cost of Noise Pollution times  Stateurban population ratio (line 2)</t>
  </si>
  <si>
    <t>National estimate frof Noise Pollution, from Vermont GPI study (2013), in 2011 a value of ~24.15 in 2000 $. In the Vermont study, the following reference is cited with the assumption of a linear annual growth trend in the costs estimated by this study: 1972: Based on 1972 national damage estimates from Congressional Quarterly (1973). Congress Approves Measure to Reduce Excessive Noise, CQ Almanac 1972, Vol. 28. Washington, D.C., United States: Congressional Quarterly. Retrieved July 23, 2013  [login required] from http://library.cqpress.com/cqalmanac/document.php?id=cqal72-1249743&amp;type=hitlist&amp;num=1#     Rates of annual decline based on Talberth, J., Cobb, C. and Slattery, N. (2007). The Genuine Progress Indicator 2006: A Tool for Sustainable Development (p. 14). Oakland, CA: Redefining Progress. Retrieved August 14, 2013 from http://web.pdx.edu/~kub/publicfiles/MeasuringWellBeing/Talberth_2006_GPI.pdf</t>
  </si>
  <si>
    <t>Cost of Noise Pollution (Billions of 2011 $)</t>
  </si>
  <si>
    <t>Proportion of 2010 State wetlands total mutiplied by  13,800 annual acreage loss, bsaed on findings reported in  Figure 1 of US Fish and Wildlife Status and Trends of Wetlands 
in the Conterminous United States 2004 to 2009 Report to Cogress. ( http://www.fws.gov/wetlands/Documents/Status-and-Trends-of-Wetlands-in-the-Conterminous-United-States-2004-to-2009.pdf). Note: rhis estimationdoes not take into account the policies of individual states, and instead has all state wetland loss occurring at the same rate. Additionally, the rate of national wetland change in 2011 may differ from 2004-2009, however, this rate is not yet available.</t>
  </si>
  <si>
    <t>Cost of Wetland Change (Billions of 2011 $)</t>
  </si>
  <si>
    <t>Factor for CO2 equivalent conversion from Coal</t>
  </si>
  <si>
    <t>Factor for CO2 equivalent conversion from Natural Gas</t>
  </si>
  <si>
    <t>Factor for CO2 equivalent conversion from Petroleum</t>
  </si>
  <si>
    <t>Factor for CO2 equivalent conversion from Wood and Waste</t>
  </si>
  <si>
    <t>6,7,8,9</t>
  </si>
  <si>
    <t>10,11,12,13</t>
  </si>
  <si>
    <t>Consumption times relevant factor in line 6, 7,8 or 9</t>
  </si>
  <si>
    <t>Cost per Ton of Carbon (2011 $)</t>
  </si>
  <si>
    <t>Costs of Climate Change (Billion 2011 $)</t>
  </si>
  <si>
    <t>Sum of lines  10-13</t>
  </si>
  <si>
    <t xml:space="preserve">National Cost for Ozone Depletion (Line 2)  weighted by population. </t>
  </si>
  <si>
    <t>National Cost for Ozone Depletion (Billions of 2011 $)</t>
  </si>
  <si>
    <t>Cost of Ozone Depletion  (Billions of 2011 $)</t>
  </si>
  <si>
    <t>Cost of Nonrenewable Energy Resources Depletion (Billion 2000 $)</t>
  </si>
  <si>
    <t>Coal Consumed (Billion BTU)</t>
  </si>
  <si>
    <t>Natural Gas Consumed (Billion BTU)</t>
  </si>
  <si>
    <t>Petroleum Products Consumed (Billion BTU)</t>
  </si>
  <si>
    <t>Coal consumed by Electrical Sector (Billion BTU)</t>
  </si>
  <si>
    <t>Replacement Costs for Energy Consumption Outside the Electrical Sector (2011 $)</t>
  </si>
  <si>
    <t>Total Electricity Consumed (Trillion BTU)</t>
  </si>
  <si>
    <t>Replacement Costs Electrical Sector (2011 $)</t>
  </si>
  <si>
    <t>Sum of replacement costs for electrical and non-electical sectors (Line 15 and Line 22)</t>
  </si>
  <si>
    <t>2 to 13</t>
  </si>
  <si>
    <t>U.S. Energy Information Administration,  Retrieved from http://www.eia.gov/state/seds/data.cfm?incfile=/state/seds/sep_sum/html/sum_btu_1.html&amp;sid=US</t>
  </si>
  <si>
    <t>Sum of lines 11-13</t>
  </si>
  <si>
    <t>2000$116 per Barrel Equivalent, based on Makhijani, A. (2007). Carbon-Free and Nuclear Free: A Roadmap for U.S. Energy Policy (p. xx) Takoma Park, Maryland: IEER Press/Muskegon, Michigan: RDR Books. Retrieved July 16, 2013 from http://www.ecocivil</t>
  </si>
  <si>
    <t>Energy consumption outside electrical sector (Line 14) times per barrel replaceement cost (Line 15)</t>
  </si>
  <si>
    <t>Converted from Line 17</t>
  </si>
  <si>
    <t>per millions of kilowatt hours factor (Line 21) times non-renewable electricity consumed (Line 20)</t>
  </si>
  <si>
    <t>Vounteer Rate State (Percent)</t>
  </si>
  <si>
    <t>State Total Volunteer Hours (Millions)</t>
  </si>
  <si>
    <t>State Volunteer Hours per Resident per Year</t>
  </si>
  <si>
    <t>Volunteer Numbers US (Millions)</t>
  </si>
  <si>
    <t>Volunteer Rate US (Percent)</t>
    <phoneticPr fontId="0" type="noConversion"/>
  </si>
  <si>
    <t>US Total Volunteer Hours (Billions)</t>
    <phoneticPr fontId="0" type="noConversion"/>
  </si>
  <si>
    <t>Volunteer Hours per Resident per Year, US</t>
    <phoneticPr fontId="0" type="noConversion"/>
  </si>
  <si>
    <r>
      <t xml:space="preserve">Table 1: Wetland Losses in the United States 1780’s to 1980’s </t>
    </r>
    <r>
      <rPr>
        <u/>
        <sz val="12"/>
        <color indexed="11"/>
        <rFont val="Trebuchet MS"/>
        <family val="2"/>
      </rPr>
      <t>http://www.npwrc.usgs.gov/resource/wetlands/wetloss/table_1.htm</t>
    </r>
    <r>
      <rPr>
        <sz val="12"/>
        <color indexed="8"/>
        <rFont val="Trebuchet MS"/>
        <family val="2"/>
      </rPr>
      <t xml:space="preserve"> except DC: </t>
    </r>
    <r>
      <rPr>
        <u/>
        <sz val="12"/>
        <color indexed="11"/>
        <rFont val="Trebuchet MS"/>
        <family val="2"/>
      </rPr>
      <t>https://water.usgs.gov/nwsum/WSP2425/state_highlights_summary.html</t>
    </r>
    <r>
      <rPr>
        <sz val="12"/>
        <color indexed="8"/>
        <rFont val="Trebuchet MS"/>
        <family val="2"/>
      </rPr>
      <t xml:space="preserve"> (estimated from state summary: 250 acres, 87% lost = 1923 acres)</t>
    </r>
  </si>
  <si>
    <t>Precolonial wetland Acreage (thousands of acres)</t>
  </si>
  <si>
    <t>source?</t>
  </si>
  <si>
    <t>2010-2011 Wetland Area Loss (thousands of acres)</t>
  </si>
  <si>
    <t>7.5% of line 2, based on: Costanza, R., Erickson, J., Fligger, K., et al. (2004). Estimates of the Genuine Progress Indicator (GPI) for Vermont, Chittenden County and Burlington, from 1950 to 2000 (p. 142). Ecological Economics 51:139–155. Retrieved from http://www.green.maryland.gov/mdgpi/pdfs/GPI-Vermont.pdf</t>
  </si>
  <si>
    <r>
      <t>.</t>
    </r>
    <r>
      <rPr>
        <sz val="12"/>
        <color indexed="8"/>
        <rFont val="Calibri"/>
        <family val="2"/>
      </rPr>
      <t>Alaska</t>
    </r>
  </si>
  <si>
    <r>
      <t>.</t>
    </r>
    <r>
      <rPr>
        <sz val="12"/>
        <color indexed="8"/>
        <rFont val="Calibri"/>
        <family val="2"/>
      </rPr>
      <t>Arizona</t>
    </r>
  </si>
  <si>
    <r>
      <t>.</t>
    </r>
    <r>
      <rPr>
        <sz val="12"/>
        <color indexed="8"/>
        <rFont val="Calibri"/>
        <family val="2"/>
      </rPr>
      <t>Arkansas</t>
    </r>
  </si>
  <si>
    <r>
      <t>.</t>
    </r>
    <r>
      <rPr>
        <sz val="12"/>
        <color indexed="8"/>
        <rFont val="Calibri"/>
        <family val="2"/>
      </rPr>
      <t>California</t>
    </r>
  </si>
  <si>
    <r>
      <t>.</t>
    </r>
    <r>
      <rPr>
        <sz val="12"/>
        <color indexed="8"/>
        <rFont val="Calibri"/>
        <family val="2"/>
      </rPr>
      <t>Colorado</t>
    </r>
  </si>
  <si>
    <r>
      <t>.</t>
    </r>
    <r>
      <rPr>
        <sz val="12"/>
        <color indexed="8"/>
        <rFont val="Calibri"/>
        <family val="2"/>
      </rPr>
      <t>Connecticut</t>
    </r>
  </si>
  <si>
    <r>
      <t>.</t>
    </r>
    <r>
      <rPr>
        <sz val="12"/>
        <color indexed="8"/>
        <rFont val="Calibri"/>
        <family val="2"/>
      </rPr>
      <t>Delaware</t>
    </r>
  </si>
  <si>
    <r>
      <t>.</t>
    </r>
    <r>
      <rPr>
        <sz val="12"/>
        <color indexed="8"/>
        <rFont val="Calibri"/>
        <family val="2"/>
      </rPr>
      <t>Florida</t>
    </r>
  </si>
  <si>
    <r>
      <t>.</t>
    </r>
    <r>
      <rPr>
        <sz val="12"/>
        <color indexed="8"/>
        <rFont val="Calibri"/>
        <family val="2"/>
      </rPr>
      <t>Georgia</t>
    </r>
  </si>
  <si>
    <r>
      <t>.</t>
    </r>
    <r>
      <rPr>
        <sz val="12"/>
        <color indexed="8"/>
        <rFont val="Calibri"/>
        <family val="2"/>
      </rPr>
      <t>Hawaii</t>
    </r>
  </si>
  <si>
    <r>
      <t>.</t>
    </r>
    <r>
      <rPr>
        <sz val="12"/>
        <color indexed="8"/>
        <rFont val="Calibri"/>
        <family val="2"/>
      </rPr>
      <t>Idaho</t>
    </r>
  </si>
  <si>
    <r>
      <t>.</t>
    </r>
    <r>
      <rPr>
        <sz val="12"/>
        <color indexed="8"/>
        <rFont val="Calibri"/>
        <family val="2"/>
      </rPr>
      <t>Illinois</t>
    </r>
  </si>
  <si>
    <r>
      <t>.</t>
    </r>
    <r>
      <rPr>
        <sz val="12"/>
        <color indexed="8"/>
        <rFont val="Calibri"/>
        <family val="2"/>
      </rPr>
      <t>Indiana</t>
    </r>
  </si>
  <si>
    <r>
      <t>.</t>
    </r>
    <r>
      <rPr>
        <sz val="12"/>
        <color indexed="8"/>
        <rFont val="Calibri"/>
        <family val="2"/>
      </rPr>
      <t>Iowa</t>
    </r>
  </si>
  <si>
    <r>
      <t>.</t>
    </r>
    <r>
      <rPr>
        <sz val="12"/>
        <color indexed="8"/>
        <rFont val="Calibri"/>
        <family val="2"/>
      </rPr>
      <t>Kansas</t>
    </r>
  </si>
  <si>
    <r>
      <t>.</t>
    </r>
    <r>
      <rPr>
        <sz val="12"/>
        <color indexed="8"/>
        <rFont val="Calibri"/>
        <family val="2"/>
      </rPr>
      <t>Kentucky</t>
    </r>
  </si>
  <si>
    <r>
      <t>.</t>
    </r>
    <r>
      <rPr>
        <sz val="12"/>
        <color indexed="8"/>
        <rFont val="Calibri"/>
        <family val="2"/>
      </rPr>
      <t>Louisiana</t>
    </r>
  </si>
  <si>
    <r>
      <t>.</t>
    </r>
    <r>
      <rPr>
        <sz val="12"/>
        <color indexed="8"/>
        <rFont val="Calibri"/>
        <family val="2"/>
      </rPr>
      <t>Maine</t>
    </r>
  </si>
  <si>
    <r>
      <t>.</t>
    </r>
    <r>
      <rPr>
        <sz val="12"/>
        <color indexed="8"/>
        <rFont val="Calibri"/>
        <family val="2"/>
      </rPr>
      <t>Maryland</t>
    </r>
  </si>
  <si>
    <r>
      <t>.</t>
    </r>
    <r>
      <rPr>
        <sz val="12"/>
        <color indexed="8"/>
        <rFont val="Calibri"/>
        <family val="2"/>
      </rPr>
      <t>Massachusetts</t>
    </r>
  </si>
  <si>
    <r>
      <t>.</t>
    </r>
    <r>
      <rPr>
        <sz val="12"/>
        <color indexed="8"/>
        <rFont val="Calibri"/>
        <family val="2"/>
      </rPr>
      <t>Michigan</t>
    </r>
  </si>
  <si>
    <r>
      <t>.</t>
    </r>
    <r>
      <rPr>
        <sz val="12"/>
        <color indexed="8"/>
        <rFont val="Calibri"/>
        <family val="2"/>
      </rPr>
      <t>Minnesota</t>
    </r>
  </si>
  <si>
    <r>
      <t>.</t>
    </r>
    <r>
      <rPr>
        <sz val="12"/>
        <color indexed="8"/>
        <rFont val="Calibri"/>
        <family val="2"/>
      </rPr>
      <t>Mississippi</t>
    </r>
  </si>
  <si>
    <r>
      <t>.</t>
    </r>
    <r>
      <rPr>
        <sz val="12"/>
        <color indexed="8"/>
        <rFont val="Calibri"/>
        <family val="2"/>
      </rPr>
      <t>Missouri</t>
    </r>
  </si>
  <si>
    <r>
      <t>.</t>
    </r>
    <r>
      <rPr>
        <sz val="12"/>
        <color indexed="8"/>
        <rFont val="Calibri"/>
        <family val="2"/>
      </rPr>
      <t>Montana</t>
    </r>
  </si>
  <si>
    <r>
      <t>.</t>
    </r>
    <r>
      <rPr>
        <sz val="12"/>
        <color indexed="8"/>
        <rFont val="Calibri"/>
        <family val="2"/>
      </rPr>
      <t>Nebraska</t>
    </r>
  </si>
  <si>
    <r>
      <t>.</t>
    </r>
    <r>
      <rPr>
        <sz val="12"/>
        <color indexed="8"/>
        <rFont val="Calibri"/>
        <family val="2"/>
      </rPr>
      <t>Nevada</t>
    </r>
  </si>
  <si>
    <r>
      <t>.</t>
    </r>
    <r>
      <rPr>
        <sz val="12"/>
        <color indexed="8"/>
        <rFont val="Calibri"/>
        <family val="2"/>
      </rPr>
      <t>New Hampshire</t>
    </r>
  </si>
  <si>
    <r>
      <t>.</t>
    </r>
    <r>
      <rPr>
        <sz val="12"/>
        <color indexed="8"/>
        <rFont val="Calibri"/>
        <family val="2"/>
      </rPr>
      <t>New Jersey</t>
    </r>
  </si>
  <si>
    <r>
      <t>.</t>
    </r>
    <r>
      <rPr>
        <sz val="12"/>
        <color indexed="8"/>
        <rFont val="Calibri"/>
        <family val="2"/>
      </rPr>
      <t>New Mexico</t>
    </r>
  </si>
  <si>
    <r>
      <t>.</t>
    </r>
    <r>
      <rPr>
        <sz val="12"/>
        <color indexed="8"/>
        <rFont val="Calibri"/>
        <family val="2"/>
      </rPr>
      <t>New York</t>
    </r>
  </si>
  <si>
    <r>
      <t>.</t>
    </r>
    <r>
      <rPr>
        <sz val="12"/>
        <color indexed="8"/>
        <rFont val="Calibri"/>
        <family val="2"/>
      </rPr>
      <t>North Carolina</t>
    </r>
  </si>
  <si>
    <r>
      <t>.</t>
    </r>
    <r>
      <rPr>
        <sz val="12"/>
        <color indexed="8"/>
        <rFont val="Calibri"/>
        <family val="2"/>
      </rPr>
      <t>North Dakota</t>
    </r>
  </si>
  <si>
    <r>
      <t>.</t>
    </r>
    <r>
      <rPr>
        <sz val="12"/>
        <color indexed="8"/>
        <rFont val="Calibri"/>
        <family val="2"/>
      </rPr>
      <t>Ohio</t>
    </r>
  </si>
  <si>
    <r>
      <t>.</t>
    </r>
    <r>
      <rPr>
        <sz val="12"/>
        <color indexed="8"/>
        <rFont val="Calibri"/>
        <family val="2"/>
      </rPr>
      <t>Oklahoma</t>
    </r>
  </si>
  <si>
    <r>
      <t>.</t>
    </r>
    <r>
      <rPr>
        <sz val="12"/>
        <color indexed="8"/>
        <rFont val="Calibri"/>
        <family val="2"/>
      </rPr>
      <t>Oregon</t>
    </r>
  </si>
  <si>
    <r>
      <t>.</t>
    </r>
    <r>
      <rPr>
        <sz val="12"/>
        <color indexed="8"/>
        <rFont val="Calibri"/>
        <family val="2"/>
      </rPr>
      <t>Pennsylvania</t>
    </r>
  </si>
  <si>
    <r>
      <t>.</t>
    </r>
    <r>
      <rPr>
        <sz val="12"/>
        <color indexed="8"/>
        <rFont val="Calibri"/>
        <family val="2"/>
      </rPr>
      <t>Rhode Island</t>
    </r>
  </si>
  <si>
    <r>
      <t>.</t>
    </r>
    <r>
      <rPr>
        <sz val="12"/>
        <color indexed="8"/>
        <rFont val="Calibri"/>
        <family val="2"/>
      </rPr>
      <t>South Carolina</t>
    </r>
  </si>
  <si>
    <r>
      <t>.</t>
    </r>
    <r>
      <rPr>
        <sz val="12"/>
        <color indexed="8"/>
        <rFont val="Calibri"/>
        <family val="2"/>
      </rPr>
      <t>South Dakota</t>
    </r>
  </si>
  <si>
    <r>
      <t>.</t>
    </r>
    <r>
      <rPr>
        <sz val="12"/>
        <color indexed="8"/>
        <rFont val="Calibri"/>
        <family val="2"/>
      </rPr>
      <t>Tennessee</t>
    </r>
  </si>
  <si>
    <r>
      <t>.</t>
    </r>
    <r>
      <rPr>
        <sz val="12"/>
        <color indexed="8"/>
        <rFont val="Calibri"/>
        <family val="2"/>
      </rPr>
      <t>Texas</t>
    </r>
  </si>
  <si>
    <r>
      <t>.</t>
    </r>
    <r>
      <rPr>
        <sz val="12"/>
        <color indexed="8"/>
        <rFont val="Calibri"/>
        <family val="2"/>
      </rPr>
      <t>Utah</t>
    </r>
  </si>
  <si>
    <r>
      <t>.</t>
    </r>
    <r>
      <rPr>
        <sz val="12"/>
        <color indexed="8"/>
        <rFont val="Calibri"/>
        <family val="2"/>
      </rPr>
      <t>Vermont</t>
    </r>
  </si>
  <si>
    <r>
      <t>.</t>
    </r>
    <r>
      <rPr>
        <sz val="12"/>
        <color indexed="8"/>
        <rFont val="Calibri"/>
        <family val="2"/>
      </rPr>
      <t>Virginia</t>
    </r>
  </si>
  <si>
    <r>
      <t>.</t>
    </r>
    <r>
      <rPr>
        <sz val="12"/>
        <color indexed="8"/>
        <rFont val="Calibri"/>
        <family val="2"/>
      </rPr>
      <t>Washington</t>
    </r>
  </si>
  <si>
    <r>
      <t>.</t>
    </r>
    <r>
      <rPr>
        <sz val="12"/>
        <color indexed="8"/>
        <rFont val="Calibri"/>
        <family val="2"/>
      </rPr>
      <t>West Virginia</t>
    </r>
  </si>
  <si>
    <r>
      <t>.</t>
    </r>
    <r>
      <rPr>
        <sz val="12"/>
        <color indexed="8"/>
        <rFont val="Calibri"/>
        <family val="2"/>
      </rPr>
      <t>Wisconsin</t>
    </r>
  </si>
  <si>
    <r>
      <t>.</t>
    </r>
    <r>
      <rPr>
        <sz val="12"/>
        <color indexed="8"/>
        <rFont val="Calibri"/>
        <family val="2"/>
      </rPr>
      <t>Wyoming</t>
    </r>
  </si>
  <si>
    <t>Natural Gas Consumed by Electrical Sector (Billion BTU)</t>
  </si>
  <si>
    <t>Petroleum Products Consumed by Electrical Sector(Billion BTU)</t>
  </si>
  <si>
    <t>Coal consumed outside the Electrical Sector (Billion BTU)</t>
  </si>
  <si>
    <t>Natural Gas Consumed outside the Electrical Sector (Billion BTU)</t>
  </si>
  <si>
    <t>Petroleum Products Consumed outside the Electrical Sector (Billion BTU)</t>
  </si>
  <si>
    <t>Coal consumed outside the Electrical Sector (Barrel Equivalent)</t>
  </si>
  <si>
    <t>Natural Gas Consumed outside the Electrical Sector (Barrel Equivalent)</t>
  </si>
  <si>
    <t>Petroleum Products Consumed outside the Electrical Sector (Barrel Equivalent)</t>
  </si>
  <si>
    <t>Energy Consumption outside the Electrical Sector (Barrel Equivalent)</t>
    <phoneticPr fontId="0" type="noConversion"/>
  </si>
  <si>
    <t>$914 in 2000$ converted to 2011$ using www.usinflationcalculator.com/, following: Talberth, D.J., Cobb, C., Slattery, N., 2007. The Genuine Progress Indicator 2006: A Tool
for Sustainable Development. Redefining Progress, Oakland, CA,  which referencess:Woodward, Richard T., Yong-Suhk Wui. 2001. “Th e economic value of wetland 
services: a meta-analysis.” Ecological Economics 37:257-270.</t>
  </si>
  <si>
    <t>United States Census Bureau,  2011 American Community Survey 1-Year Estimates. Retrieved on March 11, 2014 from  ACS 2011 download</t>
  </si>
  <si>
    <t>State Population 25 and older with a Bachelor Degree or higher (thousands)</t>
  </si>
  <si>
    <t>Per person Value of Higher Education (2011 $)</t>
  </si>
  <si>
    <t>Calculated, $.0875 per kwh in 2000 $, based on Makhijani, A. (2007). Carbon-Free and Nuclear Free: A Roadmap for U.S. Energy Policy (p. xx) Takoma Park, Maryland: IEER Press/Muskegon, Michigan: RDR Books. Retrieved July 16, 2013 from http://www.ecocivilization.info/sitebuildercontent/sitebuilderfiles/CarbonFreeNuclearFree.pdf</t>
  </si>
  <si>
    <t>Replacement Costs Electrical Sector per kwh (2011 $)</t>
  </si>
  <si>
    <t>U.S. Census Bureau (2011). Historical Census of Housing Tables, Sewage Disposal (rev. October 31, 2011). Retrieved June 14, 2013 from http://www.census.gov/hhes/www/housing/census/historic/sewage.html</t>
  </si>
  <si>
    <t>Volunteer Hours</t>
  </si>
  <si>
    <t>Population, 15 and over</t>
  </si>
  <si>
    <t>Volunteer Numbers  (Millions)</t>
  </si>
  <si>
    <t>calculated?</t>
  </si>
  <si>
    <t>US Census Bureau, see Indicator 17</t>
  </si>
  <si>
    <t>Calculated as volunteer hours per resident time population 15 and over</t>
  </si>
  <si>
    <t>See indicator 17</t>
  </si>
  <si>
    <t>Calculated as estimated volunteer hours (Line 11) times average wage rate; assumes  consatnt volunteer rate across states - thus values are essentially a factor of adult population and average wage rates</t>
  </si>
  <si>
    <t>95.85 in 2000$,  based on Maryland Genuine Progress Indicator (2010). An Index for Sustainable Prosperity (Indicator 20, Methodological Notes). Retrieved July 23, 2013 from www.green.maryland.gov/mdgpi, and Costanza, R., Erickson, J., Fligger, K., et al. (2004). Estimates of the Genuine Progress Indicator (GPI) for Vermont, Chittenden County and Burlington, from 1950 to 2000 (p. 143). Ecological Economics 51:139–155.</t>
  </si>
  <si>
    <t>108.5 in 2000$,  based on based on Maryland Genuine Progress Indicator (2010). An Index for Sustainable Prosperity (Indicator 20, Methodological Notes). Retrieved July 23, 2013 from www.green.maryland.gov/mdgpi, and Costanza, R., Erickson, J., Fligger, K., et al. (2004). Estimates of the Genuine Progress Indicator (GPI) for Vermont, Chittenden County and Burlington, from 1950 to 2000 (p. 143). Ecological Economics 51:139–155.</t>
  </si>
  <si>
    <t>Number of Registered Vehicles in State 2011</t>
  </si>
  <si>
    <t>Number of Registered Vehicles in 2010</t>
  </si>
  <si>
    <t>New Vehicles</t>
  </si>
  <si>
    <t>Cost of Air Pollution Abatement (2011 $)</t>
  </si>
  <si>
    <t>New Septic Systems (2011)</t>
  </si>
  <si>
    <t>Cost of households served by sewer (2011 $)</t>
  </si>
  <si>
    <t>Waste disposed per person (tons)</t>
  </si>
  <si>
    <t>Total Waste Disposed (tons)</t>
  </si>
  <si>
    <t>Cost of Waste Disposal  per ton (2011 $)</t>
  </si>
  <si>
    <t xml:space="preserve">Calculated, Mean Commuting Time Multiplied by Employed Workers Multiplied by Work Days Divided by 60, based on Bagstad, K.J. &amp; Ceroni, M. (2007). Opportunities and challenges in applying the Genuine Progress Indicator/Index of Sustainable Economic Welfare at local scales. Int. J. Environment, Workplace and Employment, 3(2):132–153. Retrieved July 18, 2013 from http://www.green.maryland.gov/mdgpi/pdfs/ApplyingGPI-BagstadCeroni2007.pdf </t>
  </si>
  <si>
    <t>Estimated Based on Department of Agriculture Data, States (Nevada, New Mexico, Wyoming) missing a 2011 value were calculated from FIA data of available years by assuming linear trend from known years. Forest Inventory Data Online (FIDO). USDA Forest Service.  http://apps.fs.fed.us/fia/fido/index.html</t>
  </si>
  <si>
    <t>4000 in 2000$, based on Maryland Genuine Progress Indicator (2010). An Index for Sustainable Prosperity (Indicator 20, Methodological Notes). Retrieved July 23, 2013 from www.green.maryland.gov/mdgpi, and Costanza, R., Erickson, J., Fligger, K., et al. (2004). Estimates of the Genuine Progress Indicator (GPI) for Vermont, Chittenden County and Burlington, from 1950 to 2000 (p. 143). Ecological Economics 51:139–155.</t>
  </si>
  <si>
    <t>Sum of costs of new septic systems (Line 22), existing septic systems (Line 21) and units served by sewer (Line 23)</t>
  </si>
  <si>
    <t>Total tons of waste disposed (Line 27) times cost per ton (Line 28).</t>
  </si>
  <si>
    <t>New septic unis (Line 16)  times per unit value (Line 19)</t>
  </si>
  <si>
    <t>Household units with septic systems (Line 15) times per unit value (Line 18)</t>
  </si>
  <si>
    <t>Household units served by sewer (Line 17) times per unit value (Line 20)</t>
  </si>
  <si>
    <t>U.S Census Bureau, See 'GPI' Sheet</t>
  </si>
  <si>
    <t>Cost per household unit served by sewer</t>
  </si>
  <si>
    <t>Cost of Water Pollution Abatement (2011 $)</t>
  </si>
  <si>
    <t>Cost per new septic system</t>
  </si>
  <si>
    <t>Cost per existing septic system (2011)</t>
  </si>
  <si>
    <t xml:space="preserve">364 in 2000$, based on Maryland Genuine Progress Indicator (2010). An Index for Sustainable Prosperity (Indicator 20, Methodological Notes). Retrieved July 23, 2013 from www.green.maryland.gov/mdgpi, and Costanza, R., Erickson, J., Fligger, K., et al. (2004). Estimates of the Genuine Progress Indicator (GPI) for Vermont, Chittenden County and Burlington, from 1950 to 2000 (p. 143). Ecological Economics 51:139–155.
</t>
  </si>
  <si>
    <t>Cost for households with new septic systems (2011 $)</t>
  </si>
  <si>
    <t>Cost for households with septic systems (2011 $)</t>
  </si>
  <si>
    <t>Waste disposed (millions of tons)</t>
  </si>
  <si>
    <t>Cost of Waste Disposal (2011 $)</t>
  </si>
  <si>
    <t xml:space="preserve">Sum of  total public transport fare (Line 2), total direc dvinging costs (line 11) and value of lost time (line 14) </t>
  </si>
  <si>
    <t>Value applied in Maryland (2011) and Vermont (2013) GPI studies (converted to 2011 $) based on "a review of water valuation studies"  (references unavailable)</t>
  </si>
  <si>
    <t>Based on value used in  Vermont and Maryland GPI studies (318.5 in 2000 $) , based on  Pearce, D.W. &amp; Pearce, C.G., (2001). The Value of Forest Ecosystems.</t>
  </si>
  <si>
    <t>Value of Forest Land per acre (2011 $)</t>
  </si>
  <si>
    <t>Total Hours of Lost Leisure Time (Line 7) times average wage rate.</t>
  </si>
  <si>
    <t>Line 6 times line 3</t>
  </si>
  <si>
    <t>U.S. Energy Information Administration  (Table CT 8), e.g for Alaska: http://www.eia.gov/state/seds/data.cfm?incfile=/state/seds/sep_use/eu/use_eu_AK.html&amp;sid=AK</t>
  </si>
  <si>
    <t>Sum of  costs of air and water pollution abatement and waste disposals (lines 2-4)</t>
  </si>
  <si>
    <t>New Vehicle registrations (Line 7) times cost per new registered vehicle (Line 8)</t>
  </si>
  <si>
    <t>Calculated as .0769 times the difference between number of registered vehicles in 2010 and 2011, based on Maryland Genuine Progress Indicator (2010). An Index for Sustainable Prosperity (Indicator 20, Methodological Notes).</t>
  </si>
  <si>
    <t>Cost  of Air Pollution Abatement per new registered vehicle (2011 $)</t>
  </si>
  <si>
    <t>Calculated as household units (Line ) times percentage with septic systems in 1990 (Line 11)</t>
  </si>
  <si>
    <t>Calculated as household units (Line ) times percentage served by sewer in 1990 (Line 10 )</t>
  </si>
  <si>
    <t>Line 15 minus Line 14</t>
  </si>
  <si>
    <t>40 in 2000$, based on Maryland Genuine Progress Indicator (2010). An Index for Sustainable Prosperity (Indicator 20, Methodological Notes). Retrieved July 23, 2013 from www.green.maryland.gov/mdgpi, and Costanza, R., Erickson, J., Fligger, K., et al. (2004). Estimates of the Genuine Progress Indicator (GPI) for Vermont, Chittenden County and Burlington, from 1950 to 2000 (p. 143). Ecological Economics 51:139–155.</t>
  </si>
  <si>
    <t>USDA 2010 National Resources Report Summary, http://www.nrcs.usda.gov/Internet/FSE_DOCUMENTS/stelprdb1167354.pdf, Alaska and Washington, DC obtained from altenate sourcs (Alaska: http://dec.alaska.gov/water/wqsar/Docs/2010_Integrated_Report_Final_20100715_corrected_july_19.pdf ; and Washington, DC: https://water.usgs.gov/nwsum/WSP2425/state_highlights_summary.html)</t>
  </si>
  <si>
    <t>Wetland Loss since 1950 (estimated, thousands ofacres)</t>
  </si>
  <si>
    <t>See line 7</t>
  </si>
  <si>
    <t>The Cost of Net Wetland Change is calculated based on overall losses from pre-colonial time to 1950 and from 1950 to 2011 (line 5 + line11)</t>
  </si>
  <si>
    <t>Total wetland loss (line 11) minus wetland loss up until 1950 (line 5)</t>
  </si>
  <si>
    <t>Wetland area in 2011 (line 8) minus prcollonial wetland area (line )</t>
  </si>
  <si>
    <t>Line 10 time per acre value (Line 9)</t>
  </si>
  <si>
    <t>Total electgricit consumed (Line 17)  minus hydroelectric (line 19) and other renewables (line 20)</t>
  </si>
  <si>
    <t>Calculated, Line 26 times State populations (Line 25))</t>
  </si>
  <si>
    <t>Calculated per capita</t>
  </si>
  <si>
    <t>Mean Travel Time to Average Miles Conversion Factor</t>
  </si>
  <si>
    <t>Commuting Cars Driven (Line 7) times average miles driven (Line 8) times conversion factor (Line 9)</t>
  </si>
  <si>
    <t>Based on Maryland Genuine Progress Indicator (2010). An Index for Sustainable Prosperity (Indicator 25, Line 39).</t>
  </si>
  <si>
    <t>Number of workes driving alone (line 4) +50% of workers carpooling (line 5)</t>
  </si>
  <si>
    <t>Average Miles to Direct Costs Convefrsion Factor</t>
  </si>
  <si>
    <t xml:space="preserve">65% of average wage rate (Line 13)  times hours spent commuting (Line 12), based on Bagstad, K.J. &amp; Ceroni, M. (2007). Opportunities and challenges in applying the Genuine Progress Indicator/Index of Sustainable Economic Welfare at local scales. Int. J. Environment, Workplace and Employment, 3(2):132–153. Retrieved July 18, 2013 from http://www.green.maryland.gov/mdgpi/pdfs/ApplyingGPI-BagstadCeroni2007.pdf </t>
  </si>
  <si>
    <t>0.44, based on Maryland Genuine Progress Indicator (2010). An Index for Sustainable Prosperity (Indicator 25, Line 39)</t>
  </si>
  <si>
    <t>1999 Gini coefficient  (State specific base year Gini is not used), US Census Bureau, Family Gini for 1969, http://www.census.gov/hhes/www/income/data/historical/state/state4.html</t>
  </si>
  <si>
    <t>Original</t>
  </si>
  <si>
    <t>Sensitivity Case</t>
  </si>
  <si>
    <t>Sensitivity 1</t>
  </si>
  <si>
    <t>Sensitivity 2</t>
  </si>
  <si>
    <r>
      <t>Benefit</t>
    </r>
    <r>
      <rPr>
        <sz val="12"/>
        <color indexed="21"/>
        <rFont val="Calibri"/>
        <family val="2"/>
      </rPr>
      <t xml:space="preserve"> of Consumer Durables</t>
    </r>
    <r>
      <rPr>
        <b/>
        <sz val="12"/>
        <color indexed="21"/>
        <rFont val="Calibri"/>
        <family val="2"/>
      </rPr>
      <t xml:space="preserve"> </t>
    </r>
    <r>
      <rPr>
        <sz val="12"/>
        <color indexed="21"/>
        <rFont val="Calibri"/>
        <family val="2"/>
      </rPr>
      <t>(Billion, 2011 $)</t>
    </r>
  </si>
  <si>
    <t>percentage of income spent on consumer durables</t>
  </si>
  <si>
    <t>Less Spending</t>
  </si>
  <si>
    <t>More Spending</t>
  </si>
  <si>
    <t>Don’t</t>
  </si>
  <si>
    <t>This</t>
  </si>
  <si>
    <t>Column</t>
  </si>
  <si>
    <t>Delete</t>
  </si>
  <si>
    <t>!!!!</t>
  </si>
  <si>
    <t>Factor for calculating unused hours</t>
  </si>
  <si>
    <t>Total unused hours</t>
  </si>
  <si>
    <t>Dollars/hour</t>
  </si>
  <si>
    <t>State Annual Average Wages (2011)</t>
  </si>
  <si>
    <t>Dollars/year</t>
  </si>
  <si>
    <t>State Average Wage Rate Used (2011)</t>
  </si>
  <si>
    <t>State Average Wage Rate Based on Data (2011)</t>
  </si>
  <si>
    <t>Pre-colonial wetland acreage data was found here: http://www.fws.gov/wetlands/Documents/Wetlands-Losses-in-the-United-States-1780s-to-1980s.pdf, except for Washington, DC, and Hawaii. Pre-colonial wetland data for Hawaii was calculated by Van Rees and Reed (2013) and converted from square kilometers to acres for the GPI indicator calculation. Washington, DC data for precolonial wetland acreage was estimated from the State Summary Highlights of the United States Geological Survey Water Supply Paper 2425.</t>
  </si>
  <si>
    <t>Estimated national wetland lost weighted by proportion of precoloninal wetlands, following methodology of VT and MD GPI studies</t>
  </si>
  <si>
    <t>Per Acre Value of Wetlands for Precolonial-1950 period (2011 $)</t>
  </si>
  <si>
    <t>Value (converted to 2011 $) from VT GPI study, reference meta-analysis of wetland valuation studies cited in Costanza et. al. 2004</t>
  </si>
  <si>
    <t>Total Value of Wetland Loss since 1950 (2011 $)</t>
  </si>
  <si>
    <t>Total Value of Wetland Loss up to 1950 (2011 $)</t>
  </si>
  <si>
    <t>Per 1,000 Acre Value of Wetlands since 1950 (2011 $)</t>
  </si>
  <si>
    <t>Wetland Area in 2010 (thousands of Acres)</t>
  </si>
  <si>
    <t>Wetland Area 2011 (adjusted from 2010,  thousands of acres)</t>
  </si>
  <si>
    <t>Wood and Waste</t>
  </si>
  <si>
    <t>Percentage of CO2 from Coal</t>
  </si>
  <si>
    <t>Percentage of CO2 from Natural Gas</t>
  </si>
  <si>
    <t>Percentage of CO2 from Petroleum</t>
  </si>
  <si>
    <t>Percentage of CO2 from Wood and Waste</t>
  </si>
  <si>
    <t>Sensitivities</t>
  </si>
  <si>
    <t>European price $/t</t>
  </si>
  <si>
    <t>White House $/t</t>
  </si>
  <si>
    <t>Scale up emissions</t>
  </si>
  <si>
    <t>Sensitivity</t>
  </si>
  <si>
    <t>Sensitivity Factor Applied to National Cost</t>
  </si>
  <si>
    <t>Original Per Barrel</t>
  </si>
  <si>
    <t>Sen. Per Barrel</t>
  </si>
  <si>
    <t>Sen Per kw/hr</t>
  </si>
  <si>
    <t>Original kw/hr</t>
  </si>
  <si>
    <t xml:space="preserve">Electricity from Hydroelectric Energy (Trillion BTU) </t>
  </si>
  <si>
    <t xml:space="preserve">Electricity from Solar/PV (Trillion BTU) </t>
  </si>
  <si>
    <t xml:space="preserve">Electricity from Wind (Trillion BTU) </t>
  </si>
  <si>
    <t>Non-Renewable Electricity Consumed (Trillion BTU)</t>
  </si>
  <si>
    <t>Non-Renewable Electricity Consumed (Kilowatthours)</t>
  </si>
  <si>
    <t>Wage rate used (current $/hr)</t>
  </si>
  <si>
    <t>State janitors wage rate (current $/hr)</t>
  </si>
  <si>
    <t>GPI/Capita</t>
  </si>
  <si>
    <t>Dollars</t>
  </si>
  <si>
    <t>GPIsoc/Capita</t>
  </si>
  <si>
    <t>Non-renewables/Capita</t>
  </si>
  <si>
    <t>Millions of 2011 Dollars</t>
  </si>
  <si>
    <t>Billions of 2011 Dollars</t>
  </si>
  <si>
    <t>GSP Per Capita</t>
  </si>
  <si>
    <t>2011 Dollars</t>
  </si>
  <si>
    <r>
      <rPr>
        <b/>
        <sz val="12"/>
        <color indexed="21"/>
        <rFont val="Calibri"/>
        <family val="2"/>
      </rPr>
      <t>Cost</t>
    </r>
    <r>
      <rPr>
        <sz val="12"/>
        <color indexed="21"/>
        <rFont val="Calibri"/>
        <family val="2"/>
      </rPr>
      <t xml:space="preserve"> of Consumer Durables (Billion, 2011 $)</t>
    </r>
  </si>
  <si>
    <t>National Estimate for Cost of Noise Polution to US (Billions of 2011 $)</t>
  </si>
  <si>
    <t>Proportion of National Population</t>
  </si>
  <si>
    <t>Cost of Children Television Viewing</t>
  </si>
  <si>
    <r>
      <rPr>
        <sz val="12"/>
        <color indexed="21"/>
        <rFont val="Calibri"/>
        <family val="2"/>
      </rPr>
      <t xml:space="preserve">Value of Volunteer Work (Billion, </t>
    </r>
    <r>
      <rPr>
        <sz val="11"/>
        <color indexed="21"/>
        <rFont val="Verdana"/>
        <family val="2"/>
      </rPr>
      <t>2011 $)</t>
    </r>
  </si>
  <si>
    <t>Annual highway and street replacement percentage</t>
  </si>
  <si>
    <t>Cost of one Motor Vehicle Crash Fatality</t>
  </si>
  <si>
    <t>Cost of one Motor Vehicle Crash Injury</t>
  </si>
  <si>
    <t>Cost of one Motor Vehicle Crash Property Damage</t>
  </si>
  <si>
    <t xml:space="preserve"> $2011 per capita</t>
  </si>
  <si>
    <t>Cost of Inequality</t>
  </si>
  <si>
    <t>Benefits of Consumer Durables</t>
  </si>
  <si>
    <t>Benefits of Housework</t>
  </si>
  <si>
    <t>Benefits of Volunteer Work</t>
  </si>
  <si>
    <t>Benefits of Higher Education</t>
  </si>
  <si>
    <t>Benefits of Highways and Streets</t>
  </si>
  <si>
    <t>Absolute</t>
  </si>
  <si>
    <t>Percentage</t>
  </si>
  <si>
    <t>Sub Indicator</t>
  </si>
  <si>
    <t>Cum. Contr.</t>
  </si>
  <si>
    <t>Type</t>
  </si>
  <si>
    <t>Economic</t>
  </si>
  <si>
    <t>Social</t>
  </si>
  <si>
    <t>Environmental</t>
  </si>
  <si>
    <t>Inequality Change from 1969</t>
  </si>
  <si>
    <t>Gini Base Sensitivity, 1999</t>
  </si>
  <si>
    <t>Gini Base Sensitivity, "Optimum"</t>
  </si>
  <si>
    <t>State maids and housekeeping cleaners wage (current $/hr)</t>
  </si>
  <si>
    <t>State average wage rate (current $/hr)</t>
  </si>
  <si>
    <t>Maid</t>
  </si>
  <si>
    <t>Average</t>
  </si>
  <si>
    <t>Fully employed workers</t>
  </si>
  <si>
    <t>Lost leisure time per fully employed worker (hours/yr)</t>
  </si>
  <si>
    <t>Percent Higher Ed</t>
  </si>
  <si>
    <t>Value Per person</t>
  </si>
  <si>
    <t>Population</t>
    <phoneticPr fontId="103" type="noConversion"/>
  </si>
  <si>
    <t>Energy Consumption outside the Electrical Sector (Barrel Equivalent)</t>
    <phoneticPr fontId="0" type="noConversion"/>
  </si>
  <si>
    <t>Total Electricity Consumed (Million BTU)</t>
    <phoneticPr fontId="103" type="noConversion"/>
  </si>
  <si>
    <t xml:space="preserve">Electricity from Hydroelectric Energy (Million BTU) </t>
    <phoneticPr fontId="103" type="noConversion"/>
  </si>
  <si>
    <t xml:space="preserve">Electricity from Solar/PV (Million BTU) </t>
    <phoneticPr fontId="103" type="noConversion"/>
  </si>
  <si>
    <t xml:space="preserve">Electricity from Wind (Million BTU) </t>
    <phoneticPr fontId="103" type="noConversion"/>
  </si>
  <si>
    <t>Non-Renewable Electricity Consumed (Million BTU)</t>
    <phoneticPr fontId="103" type="noConversion"/>
  </si>
  <si>
    <t>Key metrics per capita:</t>
    <phoneticPr fontId="103" type="noConversion"/>
  </si>
  <si>
    <t>Rank per capita:</t>
    <phoneticPr fontId="103" type="noConversion"/>
  </si>
  <si>
    <t>Rank</t>
    <phoneticPr fontId="103" type="noConversion"/>
  </si>
  <si>
    <t>CORREL</t>
    <phoneticPr fontId="103" type="noConversion"/>
  </si>
  <si>
    <t>Calculated for each individual State in file: '50 state table Cost of Net Farmland Change.xls': USDA Research Service data on agricultural land acreage and  agricultural production for each State are combined to produce  State-level measures of agricultural productivity ($/acre). The same  calculation is made at the national scale, again using USDA Research  Service data. The two productivity measures are combined to calculate  a ratio of State-to-National agricultural productivity. This ratio is  multiplied by the value of 404 in 2000 $ to derive the farmland values  
for each State. This value is then multiplied by the loss of farmland  
acreage from the previous year to estimate the value of farmland loss for a single year. For cases where the acreage of farmland has  
increased compared to the previous year, the values of costs from  
farmland loss for that year are negative (growth is shown as a  
negative loss).  These values are calculated for each State for every  
year from 1960 and the value for each year is summed with the value of  the previous year so that the 2011 value is an accumulation of the  values of farmland losses for all previous years since 1960.</t>
  </si>
  <si>
    <t>Coal</t>
  </si>
  <si>
    <t>Natural Gas</t>
  </si>
  <si>
    <t>Petroleum</t>
  </si>
  <si>
    <t>Factor to get to 2.5% (top 10)</t>
  </si>
  <si>
    <t>CO2 from Coal</t>
  </si>
  <si>
    <t>CO2 from Natural Gas</t>
  </si>
  <si>
    <t>CO2 from Petroleum</t>
  </si>
  <si>
    <t>CO2 from Wood and Waste</t>
  </si>
  <si>
    <t>Correlation</t>
  </si>
  <si>
    <t>Percent Delta</t>
  </si>
  <si>
    <t xml:space="preserve">Delta Original </t>
  </si>
  <si>
    <t>Sensitivity GPI</t>
  </si>
  <si>
    <t>Per Barrel Replacement Cost for Energy Consumption Outside Electrical Sector (2011$)</t>
  </si>
  <si>
    <t>Stanford Study</t>
  </si>
  <si>
    <t>Min</t>
  </si>
  <si>
    <t>Max</t>
  </si>
  <si>
    <t>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</si>
</sst>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8" formatCode="&quot;$&quot;#,##0.00_);[Red]\(&quot;$&quot;#,##0.00\)"/>
    <numFmt numFmtId="43" formatCode="_(* #,##0.00_);_(* \(#,##0.00\);_(* &quot;-&quot;??_);_(@_)"/>
    <numFmt numFmtId="164" formatCode="_-* #,##0.00_-;\-* #,##0.00_-;_-* &quot;-&quot;??_-;_-@_-"/>
    <numFmt numFmtId="165" formatCode="0.0%"/>
    <numFmt numFmtId="166" formatCode="_(* #,##0_);_(* \(#,##0\);_(* &quot;-&quot;??_);_(@_)"/>
    <numFmt numFmtId="167" formatCode="0.0000"/>
    <numFmt numFmtId="168" formatCode="#0.0"/>
    <numFmt numFmtId="169" formatCode="#0.000"/>
    <numFmt numFmtId="170" formatCode="0.000000"/>
    <numFmt numFmtId="171" formatCode="0.000"/>
    <numFmt numFmtId="172" formatCode="0.000000000"/>
    <numFmt numFmtId="173" formatCode="0.0"/>
    <numFmt numFmtId="174" formatCode="&quot;$&quot;#,##0.0000_);[Red]\(&quot;$&quot;#,##0.0000\)"/>
    <numFmt numFmtId="175" formatCode="#0"/>
    <numFmt numFmtId="176" formatCode="#,##0.0"/>
    <numFmt numFmtId="177" formatCode="#,##0.0_);[Red]\(#,##0.0\)"/>
    <numFmt numFmtId="178" formatCode="&quot;$&quot;#,##0.00"/>
    <numFmt numFmtId="179" formatCode="_-* #,##0.0_-;\-* #,##0.0_-;_-* &quot;-&quot;??_-;_-@_-"/>
    <numFmt numFmtId="180" formatCode="_(* #,##0.000_);_(* \(#,##0.000\);_(* &quot;-&quot;??_);_(@_)"/>
  </numFmts>
  <fonts count="109" x14ac:knownFonts="1">
    <font>
      <sz val="12"/>
      <color indexed="8"/>
      <name val="Calibri"/>
      <family val="2"/>
    </font>
    <font>
      <sz val="12"/>
      <color theme="1"/>
      <name val="Calibri"/>
      <family val="2"/>
      <scheme val="minor"/>
    </font>
    <font>
      <sz val="10"/>
      <color indexed="9"/>
      <name val="MS Sans Serif"/>
      <family val="2"/>
    </font>
    <font>
      <sz val="10"/>
      <name val="Arial"/>
      <family val="2"/>
    </font>
    <font>
      <sz val="10"/>
      <name val="MS Sans Serif"/>
      <family val="2"/>
    </font>
    <font>
      <sz val="11"/>
      <name val="Verdana"/>
      <family val="2"/>
    </font>
    <font>
      <b/>
      <sz val="11"/>
      <name val="Verdana"/>
      <family val="2"/>
    </font>
    <font>
      <sz val="10"/>
      <name val="Verdana"/>
      <family val="2"/>
    </font>
    <font>
      <b/>
      <i/>
      <sz val="11"/>
      <name val="Verdana"/>
      <family val="2"/>
    </font>
    <font>
      <u/>
      <sz val="10"/>
      <color indexed="12"/>
      <name val="Verdana"/>
      <family val="2"/>
    </font>
    <font>
      <sz val="11"/>
      <color indexed="8"/>
      <name val="Verdana"/>
      <family val="2"/>
    </font>
    <font>
      <sz val="10"/>
      <color indexed="14"/>
      <name val="MS Sans Serif"/>
      <family val="2"/>
    </font>
    <font>
      <sz val="10"/>
      <color indexed="14"/>
      <name val="Helvetica"/>
      <family val="2"/>
    </font>
    <font>
      <sz val="12"/>
      <color indexed="8"/>
      <name val="Trebuchet MS"/>
      <family val="2"/>
    </font>
    <font>
      <sz val="10"/>
      <name val="MS Sans Serif"/>
      <family val="2"/>
    </font>
    <font>
      <sz val="11"/>
      <color indexed="8"/>
      <name val="Verdana Bold"/>
    </font>
    <font>
      <sz val="11"/>
      <color indexed="8"/>
      <name val="Arial"/>
      <family val="2"/>
    </font>
    <font>
      <u/>
      <sz val="11"/>
      <name val="Verdana"/>
      <family val="2"/>
    </font>
    <font>
      <u/>
      <sz val="12"/>
      <color indexed="11"/>
      <name val="Trebuchet MS"/>
      <family val="2"/>
    </font>
    <font>
      <b/>
      <sz val="12"/>
      <color indexed="8"/>
      <name val="Trebuchet MS"/>
      <family val="2"/>
    </font>
    <font>
      <b/>
      <sz val="10"/>
      <name val="MS Sans Serif"/>
      <family val="2"/>
    </font>
    <font>
      <b/>
      <sz val="12"/>
      <color indexed="8"/>
      <name val="Verdana"/>
      <family val="2"/>
    </font>
    <font>
      <sz val="10"/>
      <color indexed="8"/>
      <name val="Verdana"/>
      <family val="2"/>
    </font>
    <font>
      <sz val="11"/>
      <color indexed="8"/>
      <name val="Verdana"/>
      <family val="2"/>
    </font>
    <font>
      <sz val="10"/>
      <color indexed="14"/>
      <name val="MS Sans Serif"/>
      <family val="2"/>
    </font>
    <font>
      <sz val="12"/>
      <color indexed="8"/>
      <name val="Trebuchet MS"/>
      <family val="2"/>
    </font>
    <font>
      <i/>
      <sz val="11"/>
      <color indexed="8"/>
      <name val="Arial"/>
      <family val="2"/>
    </font>
    <font>
      <sz val="11"/>
      <color indexed="48"/>
      <name val="Arial"/>
      <family val="2"/>
    </font>
    <font>
      <b/>
      <sz val="11"/>
      <color indexed="9"/>
      <name val="Verdana"/>
      <family val="2"/>
    </font>
    <font>
      <b/>
      <sz val="12"/>
      <color indexed="21"/>
      <name val="Calibri"/>
      <family val="2"/>
    </font>
    <font>
      <sz val="12"/>
      <color indexed="21"/>
      <name val="Calibri"/>
      <family val="2"/>
    </font>
    <font>
      <strike/>
      <sz val="11"/>
      <name val="Verdana"/>
      <family val="2"/>
    </font>
    <font>
      <sz val="11"/>
      <color indexed="21"/>
      <name val="Verdana"/>
      <family val="2"/>
    </font>
    <font>
      <strike/>
      <sz val="12"/>
      <color indexed="8"/>
      <name val="Trebuchet MS"/>
      <family val="2"/>
    </font>
    <font>
      <b/>
      <strike/>
      <sz val="12"/>
      <color indexed="8"/>
      <name val="Trebuchet MS"/>
      <family val="2"/>
    </font>
    <font>
      <strike/>
      <sz val="11"/>
      <color indexed="8"/>
      <name val="Verdana"/>
      <family val="2"/>
    </font>
    <font>
      <sz val="10"/>
      <color indexed="81"/>
      <name val="Calibri"/>
      <family val="2"/>
    </font>
    <font>
      <b/>
      <sz val="10"/>
      <color indexed="81"/>
      <name val="Calibri"/>
      <family val="2"/>
    </font>
    <font>
      <sz val="12"/>
      <color indexed="8"/>
      <name val="Calibri"/>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Calibri"/>
      <family val="2"/>
    </font>
    <font>
      <b/>
      <sz val="12"/>
      <color indexed="8"/>
      <name val="Calibri"/>
      <family val="2"/>
    </font>
    <font>
      <b/>
      <sz val="12"/>
      <name val="Calibri"/>
      <family val="2"/>
    </font>
    <font>
      <u/>
      <sz val="12"/>
      <name val="Calibri"/>
      <family val="2"/>
    </font>
    <font>
      <u/>
      <sz val="12"/>
      <color indexed="12"/>
      <name val="Calibri"/>
      <family val="2"/>
    </font>
    <font>
      <sz val="12"/>
      <color indexed="8"/>
      <name val="Calibri"/>
      <family val="2"/>
    </font>
    <font>
      <sz val="10"/>
      <color indexed="9"/>
      <name val="MS Sans Serif"/>
      <family val="2"/>
    </font>
    <font>
      <sz val="11"/>
      <color indexed="8"/>
      <name val="Verdana"/>
      <family val="2"/>
    </font>
    <font>
      <sz val="11"/>
      <color indexed="8"/>
      <name val="Tahoma"/>
      <family val="2"/>
    </font>
    <font>
      <sz val="11"/>
      <color indexed="10"/>
      <name val="Tahoma"/>
      <family val="2"/>
    </font>
    <font>
      <sz val="11"/>
      <color indexed="8"/>
      <name val="Calibri"/>
      <family val="2"/>
    </font>
    <font>
      <b/>
      <sz val="12"/>
      <color indexed="8"/>
      <name val="Calibri"/>
      <family val="2"/>
    </font>
    <font>
      <sz val="12"/>
      <color indexed="9"/>
      <name val="Calibri"/>
      <family val="2"/>
    </font>
    <font>
      <sz val="10"/>
      <color indexed="14"/>
      <name val="Calibri"/>
      <family val="2"/>
    </font>
    <font>
      <sz val="10"/>
      <color indexed="8"/>
      <name val="Calibri"/>
      <family val="2"/>
    </font>
    <font>
      <sz val="10"/>
      <name val="Calibri"/>
      <family val="2"/>
    </font>
    <font>
      <sz val="12"/>
      <color indexed="8"/>
      <name val="Calibri"/>
      <family val="2"/>
    </font>
    <font>
      <sz val="9"/>
      <color indexed="63"/>
      <name val="Inherit"/>
    </font>
    <font>
      <sz val="11"/>
      <color indexed="62"/>
      <name val="Verdana"/>
      <family val="2"/>
    </font>
    <font>
      <sz val="11"/>
      <color indexed="10"/>
      <name val="Verdana"/>
      <family val="2"/>
    </font>
    <font>
      <b/>
      <sz val="11"/>
      <color indexed="21"/>
      <name val="Verdana"/>
      <family val="2"/>
    </font>
    <font>
      <b/>
      <sz val="12"/>
      <color indexed="21"/>
      <name val="Calibri"/>
      <family val="2"/>
    </font>
    <font>
      <sz val="12"/>
      <color indexed="62"/>
      <name val="Calibri"/>
      <family val="2"/>
    </font>
    <font>
      <sz val="12"/>
      <color indexed="21"/>
      <name val="Calibri"/>
      <family val="2"/>
    </font>
    <font>
      <sz val="12"/>
      <color indexed="10"/>
      <name val="Calibri"/>
      <family val="2"/>
    </font>
    <font>
      <sz val="11"/>
      <color indexed="62"/>
      <name val="Calibri"/>
      <family val="2"/>
    </font>
    <font>
      <b/>
      <sz val="12"/>
      <color indexed="10"/>
      <name val="Calibri"/>
      <family val="2"/>
    </font>
    <font>
      <strike/>
      <sz val="12"/>
      <color indexed="8"/>
      <name val="Calibri"/>
      <family val="2"/>
    </font>
    <font>
      <strike/>
      <sz val="12"/>
      <color indexed="62"/>
      <name val="Calibri"/>
      <family val="2"/>
    </font>
    <font>
      <sz val="11"/>
      <color indexed="21"/>
      <name val="Verdana"/>
      <family val="2"/>
    </font>
    <font>
      <sz val="12"/>
      <color indexed="21"/>
      <name val="Trebuchet MS"/>
      <family val="2"/>
    </font>
    <font>
      <b/>
      <sz val="12"/>
      <color indexed="21"/>
      <name val="Trebuchet MS"/>
      <family val="2"/>
    </font>
    <font>
      <b/>
      <sz val="12"/>
      <color indexed="62"/>
      <name val="Trebuchet MS"/>
      <family val="2"/>
    </font>
    <font>
      <sz val="12"/>
      <color indexed="62"/>
      <name val="Trebuchet MS"/>
      <family val="2"/>
    </font>
    <font>
      <sz val="12"/>
      <color indexed="10"/>
      <name val="Trebuchet MS"/>
      <family val="2"/>
    </font>
    <font>
      <b/>
      <strike/>
      <sz val="12"/>
      <color indexed="10"/>
      <name val="Trebuchet MS"/>
      <family val="2"/>
    </font>
    <font>
      <strike/>
      <sz val="12"/>
      <name val="Calibri"/>
      <family val="2"/>
    </font>
    <font>
      <b/>
      <sz val="12"/>
      <color indexed="62"/>
      <name val="Calibri"/>
      <family val="2"/>
    </font>
    <font>
      <sz val="11"/>
      <color indexed="62"/>
      <name val="Tahoma"/>
      <family val="2"/>
    </font>
    <font>
      <strike/>
      <sz val="12"/>
      <color indexed="10"/>
      <name val="Calibri"/>
      <family val="2"/>
    </font>
    <font>
      <sz val="11"/>
      <color indexed="21"/>
      <name val="Calibri"/>
      <family val="2"/>
    </font>
    <font>
      <sz val="12"/>
      <color indexed="29"/>
      <name val="Calibri"/>
      <family val="2"/>
    </font>
    <font>
      <b/>
      <sz val="12"/>
      <color indexed="29"/>
      <name val="Calibri"/>
      <family val="2"/>
    </font>
    <font>
      <strike/>
      <sz val="11"/>
      <color indexed="62"/>
      <name val="Verdana"/>
      <family val="2"/>
    </font>
    <font>
      <sz val="11"/>
      <color indexed="8"/>
      <name val="Tahoma"/>
      <family val="2"/>
    </font>
    <font>
      <sz val="11"/>
      <color indexed="29"/>
      <name val="Verdana"/>
      <family val="2"/>
    </font>
    <font>
      <sz val="8"/>
      <name val="Verdana"/>
      <family val="2"/>
    </font>
    <font>
      <sz val="13"/>
      <color rgb="FF222222"/>
      <name val="Arial"/>
      <family val="2"/>
    </font>
    <font>
      <sz val="12"/>
      <color indexed="48"/>
      <name val="Calibri"/>
      <family val="2"/>
    </font>
    <font>
      <sz val="11"/>
      <color indexed="48"/>
      <name val="Verdana"/>
      <family val="2"/>
    </font>
    <font>
      <u/>
      <sz val="12"/>
      <color theme="11"/>
      <name val="Calibri"/>
      <family val="2"/>
    </font>
    <font>
      <sz val="8"/>
      <name val="Calibri"/>
      <family val="2"/>
    </font>
  </fonts>
  <fills count="33">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2"/>
        <bgColor indexed="23"/>
      </patternFill>
    </fill>
    <fill>
      <patternFill patternType="solid">
        <fgColor indexed="50"/>
        <bgColor indexed="64"/>
      </patternFill>
    </fill>
    <fill>
      <patternFill patternType="solid">
        <fgColor indexed="31"/>
        <bgColor indexed="64"/>
      </patternFill>
    </fill>
    <fill>
      <patternFill patternType="solid">
        <fgColor indexed="22"/>
        <bgColor indexed="8"/>
      </patternFill>
    </fill>
    <fill>
      <patternFill patternType="solid">
        <fgColor indexed="9"/>
        <bgColor indexed="8"/>
      </patternFill>
    </fill>
    <fill>
      <patternFill patternType="solid">
        <fgColor indexed="18"/>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62"/>
      </patternFill>
    </fill>
    <fill>
      <patternFill patternType="solid">
        <fgColor indexed="19"/>
      </patternFill>
    </fill>
    <fill>
      <patternFill patternType="solid">
        <fgColor indexed="36"/>
      </patternFill>
    </fill>
    <fill>
      <patternFill patternType="solid">
        <fgColor indexed="45"/>
      </patternFill>
    </fill>
    <fill>
      <patternFill patternType="solid">
        <fgColor indexed="55"/>
      </patternFill>
    </fill>
    <fill>
      <patternFill patternType="solid">
        <fgColor indexed="42"/>
      </patternFill>
    </fill>
    <fill>
      <patternFill patternType="solid">
        <fgColor indexed="26"/>
      </patternFill>
    </fill>
    <fill>
      <patternFill patternType="solid">
        <fgColor indexed="43"/>
      </patternFill>
    </fill>
    <fill>
      <patternFill patternType="solid">
        <fgColor rgb="FFFFFF00"/>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indexed="9"/>
      </right>
      <top/>
      <bottom/>
      <diagonal/>
    </border>
    <border>
      <left style="thin">
        <color indexed="9"/>
      </left>
      <right style="thin">
        <color indexed="9"/>
      </right>
      <top style="thin">
        <color indexed="9"/>
      </top>
      <bottom style="thin">
        <color indexed="9"/>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61">
    <xf numFmtId="0" fontId="0" fillId="0" borderId="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6" borderId="0" applyNumberFormat="0" applyBorder="0" applyAlignment="0" applyProtection="0"/>
    <xf numFmtId="0" fontId="39"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14"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13"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14" borderId="0" applyNumberFormat="0" applyBorder="0" applyAlignment="0" applyProtection="0"/>
    <xf numFmtId="0" fontId="40" fillId="25" borderId="0" applyNumberFormat="0" applyBorder="0" applyAlignment="0" applyProtection="0"/>
    <xf numFmtId="0" fontId="40" fillId="22" borderId="0" applyNumberFormat="0" applyBorder="0" applyAlignment="0" applyProtection="0"/>
    <xf numFmtId="0" fontId="40" fillId="20" borderId="0" applyNumberFormat="0" applyBorder="0" applyAlignment="0" applyProtection="0"/>
    <xf numFmtId="0" fontId="41" fillId="26" borderId="0" applyNumberFormat="0" applyBorder="0" applyAlignment="0" applyProtection="0"/>
    <xf numFmtId="0" fontId="42" fillId="21" borderId="8" applyNumberFormat="0" applyAlignment="0" applyProtection="0"/>
    <xf numFmtId="0" fontId="43" fillId="27" borderId="9" applyNumberFormat="0" applyAlignment="0" applyProtection="0"/>
    <xf numFmtId="43" fontId="38" fillId="0" borderId="0" applyFont="0" applyFill="0" applyBorder="0" applyAlignment="0" applyProtection="0"/>
    <xf numFmtId="0" fontId="44" fillId="0" borderId="0" applyNumberFormat="0" applyFill="0" applyBorder="0" applyAlignment="0" applyProtection="0"/>
    <xf numFmtId="0" fontId="45" fillId="28" borderId="0" applyNumberFormat="0" applyBorder="0" applyAlignment="0" applyProtection="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50" fillId="13" borderId="8" applyNumberFormat="0" applyAlignment="0" applyProtection="0"/>
    <xf numFmtId="0" fontId="51" fillId="0" borderId="13" applyNumberFormat="0" applyFill="0" applyAlignment="0" applyProtection="0"/>
    <xf numFmtId="0" fontId="52" fillId="29" borderId="0" applyNumberFormat="0" applyBorder="0" applyAlignment="0" applyProtection="0"/>
    <xf numFmtId="0" fontId="3" fillId="0" borderId="0"/>
    <xf numFmtId="0" fontId="39" fillId="0" borderId="0" applyNumberFormat="0" applyFill="0" applyBorder="0" applyAlignment="0" applyProtection="0"/>
    <xf numFmtId="0" fontId="7" fillId="0" borderId="0"/>
    <xf numFmtId="0" fontId="39" fillId="0" borderId="0"/>
    <xf numFmtId="0" fontId="38" fillId="30" borderId="14" applyNumberFormat="0" applyFont="0" applyAlignment="0" applyProtection="0"/>
    <xf numFmtId="0" fontId="53" fillId="21" borderId="15" applyNumberFormat="0" applyAlignment="0" applyProtection="0"/>
    <xf numFmtId="9" fontId="38" fillId="0" borderId="0" applyFont="0" applyFill="0" applyBorder="0" applyAlignment="0" applyProtection="0"/>
    <xf numFmtId="0" fontId="54" fillId="0" borderId="0" applyNumberFormat="0" applyFill="0" applyBorder="0" applyAlignment="0" applyProtection="0"/>
    <xf numFmtId="0" fontId="55" fillId="0" borderId="16" applyNumberFormat="0" applyFill="0" applyAlignment="0" applyProtection="0"/>
    <xf numFmtId="0" fontId="56" fillId="0" borderId="0" applyNumberFormat="0" applyFill="0" applyBorder="0" applyAlignment="0" applyProtection="0"/>
    <xf numFmtId="0" fontId="1" fillId="0" borderId="0"/>
    <xf numFmtId="164" fontId="1" fillId="0" borderId="0" applyFon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cellStyleXfs>
  <cellXfs count="532">
    <xf numFmtId="0" fontId="0" fillId="0" borderId="0" xfId="0"/>
    <xf numFmtId="0" fontId="0" fillId="0" borderId="0" xfId="0" applyBorder="1"/>
    <xf numFmtId="0" fontId="0" fillId="0" borderId="0" xfId="0" applyBorder="1" applyAlignment="1">
      <alignment horizontal="left"/>
    </xf>
    <xf numFmtId="0" fontId="0" fillId="0" borderId="0" xfId="0" applyBorder="1" applyAlignment="1">
      <alignment horizontal="center"/>
    </xf>
    <xf numFmtId="0" fontId="2" fillId="0" borderId="0" xfId="0" applyFont="1" applyBorder="1" applyAlignment="1" applyProtection="1">
      <alignment horizontal="center"/>
      <protection locked="0"/>
    </xf>
    <xf numFmtId="3" fontId="0" fillId="0" borderId="0" xfId="0" applyNumberFormat="1" applyBorder="1" applyAlignment="1" applyProtection="1">
      <alignment horizontal="right"/>
      <protection locked="0"/>
    </xf>
    <xf numFmtId="0" fontId="0" fillId="5" borderId="0" xfId="0" applyFill="1" applyBorder="1" applyAlignment="1">
      <alignment horizontal="center"/>
    </xf>
    <xf numFmtId="0" fontId="0" fillId="0" borderId="0" xfId="0" applyFill="1" applyBorder="1"/>
    <xf numFmtId="9" fontId="0" fillId="0" borderId="0" xfId="0" applyNumberFormat="1" applyFill="1" applyBorder="1"/>
    <xf numFmtId="0" fontId="0" fillId="0" borderId="0" xfId="0" applyFill="1" applyBorder="1" applyAlignment="1">
      <alignment horizontal="left"/>
    </xf>
    <xf numFmtId="0" fontId="57" fillId="0" borderId="0" xfId="0" applyFont="1" applyFill="1" applyBorder="1"/>
    <xf numFmtId="9" fontId="38" fillId="0" borderId="0" xfId="46" applyNumberFormat="1" applyFont="1" applyFill="1" applyBorder="1"/>
    <xf numFmtId="166" fontId="0" fillId="0" borderId="0" xfId="0" applyNumberFormat="1" applyFill="1" applyBorder="1"/>
    <xf numFmtId="1" fontId="0" fillId="0" borderId="0" xfId="0" applyNumberFormat="1" applyFill="1" applyBorder="1"/>
    <xf numFmtId="166" fontId="38" fillId="0" borderId="0" xfId="28" applyNumberFormat="1" applyFont="1"/>
    <xf numFmtId="2" fontId="0" fillId="0" borderId="0" xfId="0" applyNumberFormat="1" applyBorder="1"/>
    <xf numFmtId="0" fontId="0" fillId="0" borderId="0" xfId="0" applyBorder="1" applyAlignment="1"/>
    <xf numFmtId="0" fontId="0" fillId="0" borderId="0" xfId="0" applyFont="1" applyFill="1" applyBorder="1" applyAlignment="1"/>
    <xf numFmtId="0" fontId="0" fillId="0" borderId="0" xfId="0" applyFill="1" applyBorder="1" applyAlignment="1"/>
    <xf numFmtId="0" fontId="0" fillId="0" borderId="0" xfId="0" applyBorder="1" applyAlignment="1">
      <alignment vertical="top"/>
    </xf>
    <xf numFmtId="0" fontId="0" fillId="0" borderId="0" xfId="0" applyAlignment="1">
      <alignment horizontal="left" vertical="top"/>
    </xf>
    <xf numFmtId="0" fontId="58" fillId="0" borderId="0" xfId="0" applyFont="1" applyAlignment="1"/>
    <xf numFmtId="0" fontId="0" fillId="0" borderId="0" xfId="0" applyFont="1" applyAlignment="1"/>
    <xf numFmtId="0" fontId="58" fillId="0" borderId="0" xfId="0" applyFont="1" applyBorder="1" applyAlignment="1">
      <alignment horizontal="center" vertical="top"/>
    </xf>
    <xf numFmtId="0" fontId="0" fillId="5" borderId="0" xfId="0" applyFill="1" applyBorder="1" applyAlignment="1">
      <alignment horizontal="center" vertical="top"/>
    </xf>
    <xf numFmtId="0" fontId="2" fillId="0" borderId="0" xfId="0" applyFont="1" applyBorder="1" applyAlignment="1" applyProtection="1">
      <alignment horizontal="center" vertical="top"/>
      <protection locked="0"/>
    </xf>
    <xf numFmtId="0" fontId="0" fillId="0" borderId="0" xfId="0" applyBorder="1" applyAlignment="1">
      <alignment horizontal="center" vertical="top"/>
    </xf>
    <xf numFmtId="0" fontId="0" fillId="0" borderId="0" xfId="0" applyAlignment="1">
      <alignment horizontal="center" vertical="top"/>
    </xf>
    <xf numFmtId="0" fontId="0" fillId="0" borderId="0" xfId="0" applyAlignment="1">
      <alignment horizontal="right" vertical="top"/>
    </xf>
    <xf numFmtId="0" fontId="0" fillId="0" borderId="0" xfId="0" applyAlignment="1">
      <alignment vertical="top"/>
    </xf>
    <xf numFmtId="0" fontId="0" fillId="0" borderId="0" xfId="0" applyFont="1" applyBorder="1"/>
    <xf numFmtId="49" fontId="59" fillId="5" borderId="0" xfId="0" applyNumberFormat="1" applyFont="1" applyFill="1" applyBorder="1" applyAlignment="1">
      <alignment horizontal="center"/>
    </xf>
    <xf numFmtId="0" fontId="0" fillId="0" borderId="0" xfId="0" applyFont="1"/>
    <xf numFmtId="0" fontId="0" fillId="0" borderId="0" xfId="0" applyFont="1" applyAlignment="1">
      <alignment vertical="top"/>
    </xf>
    <xf numFmtId="0" fontId="0" fillId="0" borderId="0" xfId="0" applyFont="1" applyAlignment="1">
      <alignment horizontal="left" vertical="top"/>
    </xf>
    <xf numFmtId="0" fontId="57" fillId="0" borderId="0" xfId="0" applyFont="1" applyAlignment="1">
      <alignment vertical="top"/>
    </xf>
    <xf numFmtId="0" fontId="60" fillId="0" borderId="0" xfId="0" applyNumberFormat="1" applyFont="1" applyFill="1" applyBorder="1"/>
    <xf numFmtId="0" fontId="57" fillId="0" borderId="0" xfId="0" applyFont="1" applyAlignment="1">
      <alignment horizontal="left" vertical="top"/>
    </xf>
    <xf numFmtId="0" fontId="0" fillId="0" borderId="0" xfId="0" applyAlignment="1">
      <alignment horizontal="center"/>
    </xf>
    <xf numFmtId="0" fontId="0" fillId="0" borderId="0" xfId="0" applyFont="1" applyAlignment="1">
      <alignment horizontal="center"/>
    </xf>
    <xf numFmtId="0" fontId="0" fillId="0" borderId="0" xfId="0" applyFont="1" applyAlignment="1">
      <alignment horizontal="right"/>
    </xf>
    <xf numFmtId="0" fontId="58" fillId="5" borderId="0" xfId="0" applyFont="1" applyFill="1" applyAlignment="1">
      <alignment horizontal="center" vertical="top"/>
    </xf>
    <xf numFmtId="0" fontId="0" fillId="0" borderId="2" xfId="0" applyFont="1" applyBorder="1" applyAlignment="1">
      <alignment horizontal="center" vertical="top"/>
    </xf>
    <xf numFmtId="0" fontId="59" fillId="6" borderId="3" xfId="0" applyFont="1" applyFill="1" applyBorder="1" applyAlignment="1">
      <alignment horizontal="center"/>
    </xf>
    <xf numFmtId="0" fontId="58" fillId="5" borderId="0" xfId="0" applyFont="1" applyFill="1" applyBorder="1" applyAlignment="1">
      <alignment horizontal="center" vertical="top" wrapText="1"/>
    </xf>
    <xf numFmtId="0" fontId="0" fillId="0" borderId="0" xfId="0" applyFont="1" applyAlignment="1">
      <alignment horizontal="center" vertical="top"/>
    </xf>
    <xf numFmtId="49" fontId="58" fillId="5" borderId="0" xfId="0" applyNumberFormat="1" applyFont="1" applyFill="1" applyBorder="1" applyAlignment="1">
      <alignment horizontal="center" vertical="top"/>
    </xf>
    <xf numFmtId="49" fontId="58" fillId="5" borderId="0" xfId="0" applyNumberFormat="1" applyFont="1" applyFill="1" applyAlignment="1">
      <alignment horizontal="center" vertical="top"/>
    </xf>
    <xf numFmtId="170" fontId="0" fillId="0" borderId="0" xfId="0" applyNumberFormat="1"/>
    <xf numFmtId="0" fontId="5" fillId="0" borderId="0" xfId="0" applyNumberFormat="1" applyFont="1" applyFill="1"/>
    <xf numFmtId="3" fontId="5" fillId="0" borderId="0" xfId="0" applyNumberFormat="1" applyFont="1" applyFill="1"/>
    <xf numFmtId="4" fontId="0" fillId="0" borderId="0" xfId="0" applyNumberFormat="1"/>
    <xf numFmtId="0" fontId="5" fillId="0" borderId="0" xfId="0" applyFont="1"/>
    <xf numFmtId="4" fontId="0" fillId="0" borderId="0" xfId="0" applyNumberFormat="1" applyFont="1"/>
    <xf numFmtId="0" fontId="61" fillId="0" borderId="0" xfId="35" applyFont="1" applyAlignment="1" applyProtection="1"/>
    <xf numFmtId="0" fontId="57" fillId="0" borderId="0" xfId="0" applyFont="1" applyAlignment="1">
      <alignment wrapText="1"/>
    </xf>
    <xf numFmtId="0" fontId="5" fillId="0" borderId="0" xfId="0" applyFont="1" applyFill="1"/>
    <xf numFmtId="0" fontId="5" fillId="0" borderId="0" xfId="0" applyFont="1" applyAlignment="1">
      <alignment vertical="top" wrapText="1"/>
    </xf>
    <xf numFmtId="0" fontId="9" fillId="0" borderId="0" xfId="36" applyAlignment="1" applyProtection="1"/>
    <xf numFmtId="0" fontId="58" fillId="0" borderId="0" xfId="0" applyFont="1"/>
    <xf numFmtId="3" fontId="0" fillId="0" borderId="0" xfId="0" applyNumberFormat="1"/>
    <xf numFmtId="0" fontId="39" fillId="0" borderId="0" xfId="0" applyFont="1" applyAlignment="1">
      <alignment vertical="center"/>
    </xf>
    <xf numFmtId="0" fontId="58" fillId="0" borderId="0" xfId="0" applyFont="1" applyFill="1" applyBorder="1" applyAlignment="1"/>
    <xf numFmtId="0" fontId="0" fillId="0" borderId="0" xfId="0" applyFill="1"/>
    <xf numFmtId="0" fontId="10" fillId="0" borderId="0" xfId="0" applyNumberFormat="1" applyFont="1" applyFill="1" applyBorder="1" applyAlignment="1"/>
    <xf numFmtId="0" fontId="5" fillId="0" borderId="0" xfId="42" applyNumberFormat="1" applyFont="1" applyFill="1"/>
    <xf numFmtId="170" fontId="5" fillId="0" borderId="0" xfId="42" applyNumberFormat="1" applyFont="1" applyFill="1" applyAlignment="1">
      <alignment horizontal="left"/>
    </xf>
    <xf numFmtId="173" fontId="5" fillId="0" borderId="0" xfId="42" applyNumberFormat="1" applyFont="1" applyFill="1" applyAlignment="1">
      <alignment horizontal="left"/>
    </xf>
    <xf numFmtId="173" fontId="0" fillId="0" borderId="0" xfId="0" applyNumberFormat="1"/>
    <xf numFmtId="2" fontId="5" fillId="0" borderId="0" xfId="42" applyNumberFormat="1" applyFont="1" applyFill="1" applyAlignment="1">
      <alignment horizontal="left"/>
    </xf>
    <xf numFmtId="3" fontId="5" fillId="0" borderId="0" xfId="42" applyNumberFormat="1" applyFont="1" applyFill="1" applyAlignment="1">
      <alignment horizontal="left"/>
    </xf>
    <xf numFmtId="2" fontId="0" fillId="0" borderId="0" xfId="0" applyNumberFormat="1"/>
    <xf numFmtId="0" fontId="5" fillId="0" borderId="0" xfId="0" applyNumberFormat="1" applyFont="1"/>
    <xf numFmtId="0" fontId="17" fillId="0" borderId="0" xfId="36" applyFont="1" applyAlignment="1" applyProtection="1"/>
    <xf numFmtId="0" fontId="5" fillId="0" borderId="0" xfId="0" applyFont="1" applyAlignment="1">
      <alignment wrapText="1"/>
    </xf>
    <xf numFmtId="174" fontId="0" fillId="0" borderId="0" xfId="0" applyNumberFormat="1"/>
    <xf numFmtId="0" fontId="13" fillId="0" borderId="0" xfId="0" applyNumberFormat="1" applyFont="1" applyBorder="1" applyAlignment="1">
      <alignment horizontal="center"/>
    </xf>
    <xf numFmtId="0" fontId="0" fillId="0" borderId="0" xfId="0" applyNumberFormat="1" applyBorder="1" applyAlignment="1">
      <alignment wrapText="1"/>
    </xf>
    <xf numFmtId="0" fontId="0" fillId="3" borderId="0" xfId="0" applyFill="1" applyBorder="1" applyAlignment="1">
      <alignment horizontal="center"/>
    </xf>
    <xf numFmtId="0" fontId="2" fillId="3" borderId="0" xfId="0" applyFont="1" applyFill="1" applyBorder="1" applyAlignment="1" applyProtection="1">
      <alignment horizontal="center"/>
      <protection locked="0"/>
    </xf>
    <xf numFmtId="0" fontId="0" fillId="0" borderId="0" xfId="0" applyAlignment="1">
      <alignment wrapText="1"/>
    </xf>
    <xf numFmtId="170" fontId="5" fillId="0" borderId="0" xfId="0" applyNumberFormat="1" applyFont="1"/>
    <xf numFmtId="2" fontId="5" fillId="0" borderId="0" xfId="0" applyNumberFormat="1" applyFont="1"/>
    <xf numFmtId="4" fontId="5" fillId="0" borderId="0" xfId="0" applyNumberFormat="1" applyFont="1"/>
    <xf numFmtId="3" fontId="5" fillId="0" borderId="0" xfId="0" applyNumberFormat="1" applyFont="1"/>
    <xf numFmtId="0" fontId="0" fillId="0" borderId="0" xfId="0" applyAlignment="1"/>
    <xf numFmtId="0" fontId="62" fillId="0" borderId="0" xfId="0" applyFont="1" applyAlignment="1">
      <alignment horizontal="center"/>
    </xf>
    <xf numFmtId="0" fontId="62" fillId="9" borderId="0" xfId="0" applyFont="1" applyFill="1" applyAlignment="1">
      <alignment horizontal="center"/>
    </xf>
    <xf numFmtId="0" fontId="62" fillId="0" borderId="0" xfId="0" applyFont="1" applyAlignment="1">
      <alignment horizontal="left"/>
    </xf>
    <xf numFmtId="0" fontId="63" fillId="0" borderId="0" xfId="0" applyFont="1" applyAlignment="1" applyProtection="1">
      <alignment horizontal="center"/>
      <protection locked="0"/>
    </xf>
    <xf numFmtId="0" fontId="5" fillId="0" borderId="0" xfId="0" applyFont="1" applyFill="1" applyAlignment="1">
      <alignment wrapText="1"/>
    </xf>
    <xf numFmtId="167" fontId="5" fillId="0" borderId="0" xfId="0" applyNumberFormat="1" applyFont="1"/>
    <xf numFmtId="1" fontId="5" fillId="0" borderId="0" xfId="0" applyNumberFormat="1" applyFont="1"/>
    <xf numFmtId="0" fontId="64" fillId="0" borderId="0" xfId="0" applyFont="1"/>
    <xf numFmtId="0" fontId="16" fillId="0" borderId="0" xfId="0" applyFont="1"/>
    <xf numFmtId="166" fontId="38" fillId="0" borderId="0" xfId="28" applyNumberFormat="1" applyFont="1"/>
    <xf numFmtId="0" fontId="0" fillId="0" borderId="0" xfId="0" applyNumberFormat="1"/>
    <xf numFmtId="0" fontId="49" fillId="0" borderId="0" xfId="35" applyAlignment="1" applyProtection="1"/>
    <xf numFmtId="0" fontId="39" fillId="0" borderId="0" xfId="43"/>
    <xf numFmtId="0" fontId="0" fillId="5" borderId="0" xfId="0" applyFill="1"/>
    <xf numFmtId="1" fontId="5" fillId="3" borderId="0" xfId="43" applyNumberFormat="1" applyFont="1" applyFill="1"/>
    <xf numFmtId="0" fontId="5" fillId="0" borderId="0" xfId="0" applyFont="1" applyAlignment="1">
      <alignment horizontal="left"/>
    </xf>
    <xf numFmtId="0" fontId="10" fillId="0" borderId="0" xfId="0" applyNumberFormat="1" applyFont="1" applyBorder="1" applyAlignment="1"/>
    <xf numFmtId="0" fontId="58" fillId="0" borderId="0" xfId="0" applyFont="1" applyBorder="1"/>
    <xf numFmtId="49" fontId="59" fillId="0" borderId="0" xfId="0" applyNumberFormat="1" applyFont="1" applyFill="1" applyBorder="1" applyAlignment="1">
      <alignment horizontal="center"/>
    </xf>
    <xf numFmtId="0" fontId="22" fillId="0" borderId="0" xfId="0" applyNumberFormat="1" applyFont="1" applyBorder="1" applyAlignment="1">
      <alignment horizontal="center"/>
    </xf>
    <xf numFmtId="0" fontId="0" fillId="0" borderId="0" xfId="0" applyFont="1" applyBorder="1" applyAlignment="1">
      <alignment horizontal="center" vertical="top" wrapText="1"/>
    </xf>
    <xf numFmtId="0" fontId="23" fillId="0" borderId="0" xfId="0" applyNumberFormat="1" applyFont="1" applyBorder="1" applyAlignment="1"/>
    <xf numFmtId="0" fontId="22" fillId="0" borderId="0" xfId="0" applyFont="1" applyBorder="1" applyAlignment="1"/>
    <xf numFmtId="0" fontId="24" fillId="0" borderId="0" xfId="0" applyNumberFormat="1" applyFont="1" applyBorder="1" applyAlignment="1">
      <alignment horizontal="center"/>
    </xf>
    <xf numFmtId="0" fontId="25" fillId="0" borderId="0" xfId="0" applyNumberFormat="1" applyFont="1" applyBorder="1" applyAlignment="1">
      <alignment horizontal="center"/>
    </xf>
    <xf numFmtId="0" fontId="0" fillId="0" borderId="0" xfId="0" applyFont="1" applyBorder="1" applyAlignment="1">
      <alignment vertical="top" wrapText="1"/>
    </xf>
    <xf numFmtId="0" fontId="25" fillId="0" borderId="0" xfId="0" applyFont="1" applyBorder="1" applyAlignment="1"/>
    <xf numFmtId="1" fontId="25" fillId="0" borderId="0" xfId="0" applyNumberFormat="1" applyFont="1" applyBorder="1" applyAlignment="1">
      <alignment horizontal="left"/>
    </xf>
    <xf numFmtId="1" fontId="23" fillId="0" borderId="0" xfId="0" applyNumberFormat="1" applyFont="1" applyBorder="1" applyAlignment="1">
      <alignment horizontal="right"/>
    </xf>
    <xf numFmtId="0" fontId="22" fillId="0" borderId="0" xfId="0" applyNumberFormat="1" applyFont="1" applyBorder="1" applyAlignment="1"/>
    <xf numFmtId="1" fontId="15" fillId="0" borderId="0" xfId="0" applyNumberFormat="1" applyFont="1" applyBorder="1" applyAlignment="1"/>
    <xf numFmtId="0" fontId="10" fillId="0" borderId="0" xfId="0" applyNumberFormat="1" applyFont="1" applyBorder="1" applyAlignment="1">
      <alignment horizontal="left"/>
    </xf>
    <xf numFmtId="0" fontId="11" fillId="0" borderId="0" xfId="0" applyNumberFormat="1" applyFont="1" applyBorder="1" applyAlignment="1">
      <alignment horizontal="center"/>
    </xf>
    <xf numFmtId="0" fontId="14" fillId="0" borderId="0" xfId="0" applyNumberFormat="1" applyFont="1" applyBorder="1" applyAlignment="1">
      <alignment horizontal="center"/>
    </xf>
    <xf numFmtId="0" fontId="13" fillId="0" borderId="0" xfId="0" applyFont="1" applyBorder="1" applyAlignment="1"/>
    <xf numFmtId="1" fontId="13" fillId="0" borderId="0" xfId="0" applyNumberFormat="1" applyFont="1" applyBorder="1" applyAlignment="1">
      <alignment horizontal="left"/>
    </xf>
    <xf numFmtId="3" fontId="62" fillId="0" borderId="0" xfId="0" applyNumberFormat="1" applyFont="1" applyAlignment="1">
      <alignment horizontal="center"/>
    </xf>
    <xf numFmtId="0" fontId="62" fillId="10" borderId="0" xfId="0" applyFont="1" applyFill="1" applyAlignment="1">
      <alignment horizontal="center"/>
    </xf>
    <xf numFmtId="0" fontId="63" fillId="10" borderId="0" xfId="0" applyFont="1" applyFill="1" applyAlignment="1" applyProtection="1">
      <alignment horizontal="center"/>
      <protection locked="0"/>
    </xf>
    <xf numFmtId="0" fontId="0" fillId="3" borderId="0" xfId="0" applyFill="1"/>
    <xf numFmtId="0" fontId="0" fillId="0" borderId="0" xfId="0" applyAlignment="1">
      <alignment horizontal="right"/>
    </xf>
    <xf numFmtId="1" fontId="0" fillId="0" borderId="0" xfId="0" applyNumberFormat="1"/>
    <xf numFmtId="8" fontId="65" fillId="0" borderId="0" xfId="0" applyNumberFormat="1" applyFont="1"/>
    <xf numFmtId="8" fontId="66" fillId="0" borderId="0" xfId="0" applyNumberFormat="1" applyFont="1"/>
    <xf numFmtId="0" fontId="17" fillId="0" borderId="0" xfId="36" applyFont="1" applyAlignment="1" applyProtection="1">
      <alignment wrapText="1"/>
    </xf>
    <xf numFmtId="0" fontId="7" fillId="0" borderId="0" xfId="0" applyFont="1" applyAlignment="1">
      <alignment wrapText="1"/>
    </xf>
    <xf numFmtId="0" fontId="5" fillId="0" borderId="0" xfId="0" applyFont="1" applyAlignment="1"/>
    <xf numFmtId="0" fontId="0" fillId="5" borderId="0" xfId="0" applyFill="1" applyAlignment="1">
      <alignment horizontal="center"/>
    </xf>
    <xf numFmtId="0" fontId="5" fillId="0" borderId="0" xfId="0" applyFont="1" applyBorder="1"/>
    <xf numFmtId="0" fontId="7" fillId="0" borderId="0" xfId="0" applyFont="1"/>
    <xf numFmtId="0" fontId="0" fillId="0" borderId="0" xfId="0" applyBorder="1" applyAlignment="1" applyProtection="1">
      <alignment horizontal="center" vertical="top"/>
      <protection locked="0"/>
    </xf>
    <xf numFmtId="0" fontId="58" fillId="3" borderId="0" xfId="0" applyFont="1" applyFill="1" applyAlignment="1">
      <alignment horizontal="right"/>
    </xf>
    <xf numFmtId="49" fontId="59" fillId="3" borderId="0" xfId="0" applyNumberFormat="1" applyFont="1" applyFill="1" applyBorder="1" applyAlignment="1">
      <alignment horizontal="center"/>
    </xf>
    <xf numFmtId="168" fontId="67" fillId="3" borderId="0" xfId="0" applyNumberFormat="1" applyFont="1" applyFill="1" applyAlignment="1">
      <alignment horizontal="right"/>
    </xf>
    <xf numFmtId="169" fontId="67" fillId="3" borderId="0" xfId="0" applyNumberFormat="1" applyFont="1" applyFill="1" applyAlignment="1">
      <alignment horizontal="right"/>
    </xf>
    <xf numFmtId="0" fontId="0" fillId="3" borderId="0" xfId="0" applyFont="1" applyFill="1"/>
    <xf numFmtId="0" fontId="5" fillId="3" borderId="0" xfId="0" applyFont="1" applyFill="1"/>
    <xf numFmtId="0" fontId="13" fillId="0" borderId="0" xfId="0" applyNumberFormat="1" applyFont="1" applyBorder="1" applyAlignment="1">
      <alignment horizontal="left"/>
    </xf>
    <xf numFmtId="4" fontId="13" fillId="0" borderId="0" xfId="0" applyNumberFormat="1" applyFont="1" applyBorder="1" applyAlignment="1">
      <alignment horizontal="center"/>
    </xf>
    <xf numFmtId="0" fontId="13" fillId="0" borderId="0" xfId="0" applyNumberFormat="1" applyFont="1" applyBorder="1" applyAlignment="1">
      <alignment horizontal="left" wrapText="1"/>
    </xf>
    <xf numFmtId="0" fontId="20" fillId="0" borderId="0" xfId="0" applyNumberFormat="1" applyFont="1" applyBorder="1" applyAlignment="1">
      <alignment horizontal="center"/>
    </xf>
    <xf numFmtId="0" fontId="19" fillId="0" borderId="0" xfId="0" applyFont="1" applyBorder="1" applyAlignment="1"/>
    <xf numFmtId="0" fontId="19" fillId="0" borderId="0" xfId="0" applyNumberFormat="1" applyFont="1" applyBorder="1" applyAlignment="1">
      <alignment horizontal="left"/>
    </xf>
    <xf numFmtId="0" fontId="21" fillId="0" borderId="0" xfId="0" applyFont="1" applyBorder="1" applyAlignment="1">
      <alignment vertical="top" wrapText="1"/>
    </xf>
    <xf numFmtId="0" fontId="13" fillId="0" borderId="0" xfId="0" applyNumberFormat="1" applyFont="1" applyBorder="1" applyAlignment="1">
      <alignment horizontal="right"/>
    </xf>
    <xf numFmtId="4" fontId="13" fillId="0" borderId="0" xfId="0" applyNumberFormat="1" applyFont="1" applyBorder="1" applyAlignment="1">
      <alignment horizontal="left"/>
    </xf>
    <xf numFmtId="0" fontId="4" fillId="0" borderId="0" xfId="0" applyNumberFormat="1" applyFont="1" applyBorder="1" applyAlignment="1">
      <alignment horizontal="center"/>
    </xf>
    <xf numFmtId="0" fontId="0" fillId="0" borderId="0" xfId="0" applyBorder="1" applyAlignment="1">
      <alignment vertical="top" wrapText="1"/>
    </xf>
    <xf numFmtId="0" fontId="57" fillId="3" borderId="0" xfId="0" applyNumberFormat="1" applyFont="1" applyFill="1"/>
    <xf numFmtId="172" fontId="57" fillId="3" borderId="0" xfId="0" applyNumberFormat="1" applyFont="1" applyFill="1"/>
    <xf numFmtId="3" fontId="57" fillId="3" borderId="0" xfId="0" applyNumberFormat="1" applyFont="1" applyFill="1"/>
    <xf numFmtId="4" fontId="0" fillId="3" borderId="0" xfId="0" applyNumberFormat="1" applyFont="1" applyFill="1"/>
    <xf numFmtId="3" fontId="0" fillId="3" borderId="0" xfId="0" applyNumberFormat="1" applyFont="1" applyFill="1"/>
    <xf numFmtId="3" fontId="68" fillId="3" borderId="0" xfId="43" applyNumberFormat="1" applyFont="1" applyFill="1" applyAlignment="1">
      <alignment horizontal="right" vertical="center" wrapText="1"/>
    </xf>
    <xf numFmtId="0" fontId="61" fillId="3" borderId="0" xfId="35" applyFont="1" applyFill="1" applyAlignment="1" applyProtection="1"/>
    <xf numFmtId="4" fontId="57" fillId="3" borderId="0" xfId="0" applyNumberFormat="1" applyFont="1" applyFill="1"/>
    <xf numFmtId="0" fontId="57" fillId="3" borderId="0" xfId="0" applyFont="1" applyFill="1"/>
    <xf numFmtId="4" fontId="62" fillId="3" borderId="0" xfId="0" applyNumberFormat="1" applyFont="1" applyFill="1"/>
    <xf numFmtId="0" fontId="62" fillId="3" borderId="0" xfId="0" applyFont="1" applyFill="1"/>
    <xf numFmtId="0" fontId="57" fillId="3" borderId="0" xfId="0" applyFont="1" applyFill="1" applyAlignment="1">
      <alignment wrapText="1"/>
    </xf>
    <xf numFmtId="0" fontId="69" fillId="3" borderId="0" xfId="0" applyFont="1" applyFill="1" applyAlignment="1">
      <alignment wrapText="1"/>
    </xf>
    <xf numFmtId="0" fontId="5" fillId="3" borderId="0" xfId="0" applyFont="1" applyFill="1" applyAlignment="1">
      <alignment vertical="top" wrapText="1"/>
    </xf>
    <xf numFmtId="0" fontId="9" fillId="3" borderId="0" xfId="36" applyFill="1" applyAlignment="1" applyProtection="1"/>
    <xf numFmtId="3" fontId="5" fillId="0" borderId="0" xfId="0" applyNumberFormat="1" applyFont="1" applyAlignment="1">
      <alignment horizontal="right"/>
    </xf>
    <xf numFmtId="0" fontId="0" fillId="3" borderId="0" xfId="0" applyFill="1" applyBorder="1" applyAlignment="1">
      <alignment horizontal="left"/>
    </xf>
    <xf numFmtId="49" fontId="5" fillId="0" borderId="0" xfId="0" applyNumberFormat="1" applyFont="1" applyAlignment="1">
      <alignment horizontal="right"/>
    </xf>
    <xf numFmtId="0" fontId="5" fillId="0" borderId="0" xfId="0" applyFont="1" applyFill="1" applyBorder="1"/>
    <xf numFmtId="0" fontId="0" fillId="3" borderId="0" xfId="0" applyFill="1" applyAlignment="1">
      <alignment wrapText="1"/>
    </xf>
    <xf numFmtId="0" fontId="0" fillId="5" borderId="0" xfId="0" applyFill="1" applyAlignment="1">
      <alignment horizontal="center" wrapText="1"/>
    </xf>
    <xf numFmtId="8" fontId="0" fillId="0" borderId="0" xfId="0" applyNumberFormat="1"/>
    <xf numFmtId="0" fontId="0" fillId="3" borderId="0" xfId="0" applyFont="1" applyFill="1" applyBorder="1" applyAlignment="1">
      <alignment horizontal="center"/>
    </xf>
    <xf numFmtId="0" fontId="0" fillId="0" borderId="0" xfId="0" applyFont="1" applyBorder="1" applyAlignment="1">
      <alignment horizontal="center"/>
    </xf>
    <xf numFmtId="0" fontId="0" fillId="5" borderId="0" xfId="0" applyFont="1" applyFill="1" applyBorder="1" applyAlignment="1">
      <alignment horizontal="center" vertical="top"/>
    </xf>
    <xf numFmtId="0" fontId="70" fillId="0" borderId="0" xfId="0" applyNumberFormat="1" applyFont="1" applyBorder="1" applyAlignment="1">
      <alignment horizontal="center"/>
    </xf>
    <xf numFmtId="0" fontId="72" fillId="0" borderId="0" xfId="0" applyNumberFormat="1" applyFont="1" applyBorder="1" applyAlignment="1">
      <alignment horizontal="center"/>
    </xf>
    <xf numFmtId="0" fontId="73" fillId="0" borderId="0" xfId="0" applyNumberFormat="1" applyFont="1" applyBorder="1" applyAlignment="1">
      <alignment horizontal="center"/>
    </xf>
    <xf numFmtId="0" fontId="73" fillId="0" borderId="0" xfId="0" applyFont="1" applyBorder="1" applyAlignment="1"/>
    <xf numFmtId="1" fontId="73" fillId="0" borderId="0" xfId="0" applyNumberFormat="1" applyFont="1" applyBorder="1" applyAlignment="1">
      <alignment horizontal="left"/>
    </xf>
    <xf numFmtId="0" fontId="67" fillId="0" borderId="0" xfId="0" applyNumberFormat="1" applyFont="1" applyBorder="1" applyAlignment="1"/>
    <xf numFmtId="0" fontId="67" fillId="0" borderId="0" xfId="0" applyNumberFormat="1" applyFont="1" applyFill="1" applyBorder="1" applyAlignment="1"/>
    <xf numFmtId="1" fontId="67" fillId="0" borderId="0" xfId="0" applyNumberFormat="1" applyFont="1" applyBorder="1" applyAlignment="1">
      <alignment horizontal="right"/>
    </xf>
    <xf numFmtId="0" fontId="0" fillId="0" borderId="0" xfId="0" applyFont="1" applyFill="1" applyBorder="1"/>
    <xf numFmtId="1" fontId="67" fillId="0" borderId="0" xfId="0" applyNumberFormat="1" applyFont="1" applyBorder="1" applyAlignment="1">
      <alignment horizontal="left"/>
    </xf>
    <xf numFmtId="0" fontId="71" fillId="0" borderId="0" xfId="0" applyNumberFormat="1" applyFont="1" applyBorder="1" applyAlignment="1"/>
    <xf numFmtId="0" fontId="67" fillId="0" borderId="0" xfId="0" applyNumberFormat="1" applyFont="1" applyBorder="1" applyAlignment="1">
      <alignment horizontal="right"/>
    </xf>
    <xf numFmtId="0" fontId="67" fillId="0" borderId="0" xfId="0" applyNumberFormat="1" applyFont="1" applyBorder="1" applyAlignment="1">
      <alignment wrapText="1"/>
    </xf>
    <xf numFmtId="1" fontId="67" fillId="0" borderId="0" xfId="0" applyNumberFormat="1" applyFont="1" applyBorder="1" applyAlignment="1">
      <alignment wrapText="1"/>
    </xf>
    <xf numFmtId="0" fontId="71" fillId="3" borderId="0" xfId="0" applyFont="1" applyFill="1" applyBorder="1" applyAlignment="1">
      <alignment horizontal="left" vertical="top" wrapText="1"/>
    </xf>
    <xf numFmtId="3" fontId="71" fillId="3" borderId="0" xfId="0" applyNumberFormat="1" applyFont="1" applyFill="1" applyBorder="1" applyAlignment="1">
      <alignment horizontal="left" vertical="top" wrapText="1"/>
    </xf>
    <xf numFmtId="0" fontId="71" fillId="3" borderId="0" xfId="0" applyNumberFormat="1" applyFont="1" applyFill="1" applyBorder="1" applyAlignment="1">
      <alignment horizontal="left" vertical="top" wrapText="1"/>
    </xf>
    <xf numFmtId="3" fontId="0" fillId="0" borderId="0" xfId="0" applyNumberFormat="1" applyFont="1" applyBorder="1"/>
    <xf numFmtId="0" fontId="0" fillId="0" borderId="0" xfId="0" applyNumberFormat="1" applyFont="1" applyBorder="1" applyAlignment="1">
      <alignment wrapText="1"/>
    </xf>
    <xf numFmtId="0" fontId="64" fillId="0" borderId="0" xfId="0" applyFont="1" applyAlignment="1"/>
    <xf numFmtId="0" fontId="5" fillId="0" borderId="0" xfId="0" applyFont="1" applyFill="1" applyAlignment="1"/>
    <xf numFmtId="0" fontId="64" fillId="0" borderId="0" xfId="0" applyFont="1" applyFill="1" applyBorder="1"/>
    <xf numFmtId="0" fontId="39" fillId="3" borderId="0" xfId="43" applyFill="1"/>
    <xf numFmtId="0" fontId="5" fillId="3" borderId="0" xfId="43" applyFont="1" applyFill="1"/>
    <xf numFmtId="0" fontId="7" fillId="3" borderId="0" xfId="43" applyFont="1" applyFill="1"/>
    <xf numFmtId="0" fontId="5" fillId="3" borderId="0" xfId="43" applyFont="1" applyFill="1" applyAlignment="1">
      <alignment vertical="top" wrapText="1"/>
    </xf>
    <xf numFmtId="0" fontId="5" fillId="3" borderId="0" xfId="43" applyFont="1" applyFill="1" applyAlignment="1">
      <alignment wrapText="1"/>
    </xf>
    <xf numFmtId="0" fontId="74" fillId="3" borderId="0" xfId="0" applyFont="1" applyFill="1" applyAlignment="1">
      <alignment horizontal="right" vertical="top"/>
    </xf>
    <xf numFmtId="0" fontId="58" fillId="0" borderId="0" xfId="0" applyFont="1" applyFill="1" applyBorder="1"/>
    <xf numFmtId="171" fontId="0" fillId="0" borderId="0" xfId="0" applyNumberFormat="1"/>
    <xf numFmtId="1" fontId="75" fillId="0" borderId="0" xfId="0" applyNumberFormat="1" applyFont="1"/>
    <xf numFmtId="4" fontId="76" fillId="0" borderId="0" xfId="0" applyNumberFormat="1" applyFont="1"/>
    <xf numFmtId="1" fontId="77" fillId="0" borderId="0" xfId="0" applyNumberFormat="1" applyFont="1"/>
    <xf numFmtId="166" fontId="58" fillId="0" borderId="0" xfId="28" applyNumberFormat="1" applyFont="1"/>
    <xf numFmtId="166" fontId="78" fillId="0" borderId="0" xfId="28" applyNumberFormat="1" applyFont="1"/>
    <xf numFmtId="4" fontId="6" fillId="0" borderId="0" xfId="0" applyNumberFormat="1" applyFont="1"/>
    <xf numFmtId="170" fontId="75" fillId="0" borderId="0" xfId="0" applyNumberFormat="1" applyFont="1"/>
    <xf numFmtId="170" fontId="77" fillId="0" borderId="0" xfId="0" applyNumberFormat="1" applyFont="1"/>
    <xf numFmtId="166" fontId="79" fillId="0" borderId="0" xfId="28" applyNumberFormat="1" applyFont="1"/>
    <xf numFmtId="166" fontId="80" fillId="0" borderId="0" xfId="28" applyNumberFormat="1" applyFont="1" applyFill="1"/>
    <xf numFmtId="166" fontId="80" fillId="0" borderId="0" xfId="0" applyNumberFormat="1" applyFont="1" applyFill="1" applyBorder="1" applyAlignment="1">
      <alignment horizontal="center"/>
    </xf>
    <xf numFmtId="0" fontId="0" fillId="0" borderId="0" xfId="0" applyFill="1" applyBorder="1" applyAlignment="1">
      <alignment horizontal="center"/>
    </xf>
    <xf numFmtId="0" fontId="0" fillId="0" borderId="0" xfId="0" applyBorder="1" applyAlignment="1">
      <alignment horizontal="right"/>
    </xf>
    <xf numFmtId="166" fontId="38" fillId="0" borderId="0" xfId="28" applyNumberFormat="1" applyFont="1" applyAlignment="1">
      <alignment horizontal="right"/>
    </xf>
    <xf numFmtId="0" fontId="79" fillId="0" borderId="0" xfId="0" applyFont="1" applyFill="1" applyBorder="1" applyAlignment="1"/>
    <xf numFmtId="0" fontId="78" fillId="0" borderId="0" xfId="0" applyFont="1" applyBorder="1"/>
    <xf numFmtId="2" fontId="78" fillId="0" borderId="0" xfId="0" applyNumberFormat="1" applyFont="1" applyBorder="1"/>
    <xf numFmtId="0" fontId="0" fillId="0" borderId="0" xfId="0" applyFill="1" applyBorder="1" applyAlignment="1">
      <alignment horizontal="center" vertical="top"/>
    </xf>
    <xf numFmtId="0" fontId="81" fillId="0" borderId="0" xfId="0" applyFont="1"/>
    <xf numFmtId="173" fontId="58" fillId="0" borderId="0" xfId="0" applyNumberFormat="1" applyFont="1"/>
    <xf numFmtId="1" fontId="58" fillId="0" borderId="0" xfId="0" applyNumberFormat="1" applyFont="1"/>
    <xf numFmtId="0" fontId="78" fillId="0" borderId="0" xfId="0" applyFont="1" applyAlignment="1">
      <alignment horizontal="left" vertical="top"/>
    </xf>
    <xf numFmtId="1" fontId="78" fillId="0" borderId="0" xfId="0" applyNumberFormat="1" applyFont="1" applyAlignment="1">
      <alignment horizontal="right" vertical="top"/>
    </xf>
    <xf numFmtId="1" fontId="80" fillId="0" borderId="0" xfId="0" applyNumberFormat="1" applyFont="1" applyAlignment="1">
      <alignment horizontal="right" vertical="top"/>
    </xf>
    <xf numFmtId="165" fontId="81" fillId="0" borderId="0" xfId="46" applyNumberFormat="1" applyFont="1"/>
    <xf numFmtId="165" fontId="58" fillId="0" borderId="0" xfId="46" applyNumberFormat="1" applyFont="1"/>
    <xf numFmtId="0" fontId="79" fillId="0" borderId="0" xfId="0" applyFont="1" applyFill="1" applyBorder="1"/>
    <xf numFmtId="1" fontId="79" fillId="0" borderId="0" xfId="0" applyNumberFormat="1" applyFont="1" applyFill="1" applyBorder="1"/>
    <xf numFmtId="1" fontId="79" fillId="0" borderId="0" xfId="40" applyNumberFormat="1" applyFont="1" applyFill="1" applyBorder="1"/>
    <xf numFmtId="165" fontId="57" fillId="0" borderId="0" xfId="46" applyNumberFormat="1" applyFont="1" applyFill="1" applyBorder="1"/>
    <xf numFmtId="175" fontId="82" fillId="0" borderId="0" xfId="0" applyNumberFormat="1" applyFont="1" applyAlignment="1">
      <alignment horizontal="right"/>
    </xf>
    <xf numFmtId="2" fontId="0" fillId="0" borderId="0" xfId="0" applyNumberFormat="1" applyFont="1"/>
    <xf numFmtId="2" fontId="57" fillId="0" borderId="0" xfId="0" applyNumberFormat="1" applyFont="1" applyFill="1" applyBorder="1"/>
    <xf numFmtId="3" fontId="79" fillId="0" borderId="0" xfId="0" applyNumberFormat="1" applyFont="1"/>
    <xf numFmtId="0" fontId="80" fillId="0" borderId="0" xfId="0" applyFont="1"/>
    <xf numFmtId="173" fontId="80" fillId="0" borderId="0" xfId="0" applyNumberFormat="1" applyFont="1"/>
    <xf numFmtId="173" fontId="78" fillId="0" borderId="0" xfId="0" applyNumberFormat="1" applyFont="1"/>
    <xf numFmtId="171" fontId="78" fillId="0" borderId="0" xfId="0" applyNumberFormat="1" applyFont="1"/>
    <xf numFmtId="0" fontId="79" fillId="0" borderId="0" xfId="0" applyFont="1"/>
    <xf numFmtId="1" fontId="83" fillId="0" borderId="0" xfId="0" applyNumberFormat="1" applyFont="1"/>
    <xf numFmtId="173" fontId="31" fillId="0" borderId="0" xfId="42" applyNumberFormat="1" applyFont="1" applyFill="1" applyAlignment="1">
      <alignment horizontal="left"/>
    </xf>
    <xf numFmtId="0" fontId="84" fillId="0" borderId="0" xfId="0" applyFont="1"/>
    <xf numFmtId="0" fontId="85" fillId="0" borderId="0" xfId="0" applyFont="1"/>
    <xf numFmtId="0" fontId="75" fillId="0" borderId="0" xfId="0" applyNumberFormat="1" applyFont="1" applyFill="1"/>
    <xf numFmtId="3" fontId="75" fillId="0" borderId="0" xfId="0" applyNumberFormat="1" applyFont="1" applyFill="1"/>
    <xf numFmtId="1" fontId="5" fillId="0" borderId="0" xfId="0" applyNumberFormat="1" applyFont="1" applyFill="1"/>
    <xf numFmtId="2" fontId="5" fillId="0" borderId="0" xfId="0" applyNumberFormat="1" applyFont="1" applyFill="1"/>
    <xf numFmtId="173" fontId="5" fillId="0" borderId="0" xfId="0" applyNumberFormat="1" applyFont="1" applyFill="1"/>
    <xf numFmtId="173" fontId="0" fillId="0" borderId="0" xfId="0" applyNumberFormat="1" applyFont="1"/>
    <xf numFmtId="173" fontId="86" fillId="0" borderId="0" xfId="42" applyNumberFormat="1" applyFont="1" applyFill="1" applyAlignment="1">
      <alignment horizontal="left"/>
    </xf>
    <xf numFmtId="173" fontId="81" fillId="0" borderId="0" xfId="0" applyNumberFormat="1" applyFont="1"/>
    <xf numFmtId="0" fontId="83" fillId="0" borderId="0" xfId="0" applyFont="1"/>
    <xf numFmtId="1" fontId="79" fillId="0" borderId="0" xfId="0" applyNumberFormat="1" applyFont="1"/>
    <xf numFmtId="171" fontId="80" fillId="0" borderId="0" xfId="0" applyNumberFormat="1" applyFont="1"/>
    <xf numFmtId="165" fontId="38" fillId="0" borderId="0" xfId="46" quotePrefix="1" applyNumberFormat="1" applyFont="1"/>
    <xf numFmtId="165" fontId="38" fillId="0" borderId="0" xfId="46" applyNumberFormat="1" applyFont="1"/>
    <xf numFmtId="0" fontId="0" fillId="2" borderId="0" xfId="0" applyFill="1"/>
    <xf numFmtId="166" fontId="0" fillId="0" borderId="0" xfId="0" applyNumberFormat="1"/>
    <xf numFmtId="0" fontId="58" fillId="0" borderId="0" xfId="0" applyFont="1" applyFill="1"/>
    <xf numFmtId="0" fontId="80" fillId="0" borderId="0" xfId="0" applyFont="1" applyBorder="1" applyAlignment="1">
      <alignment horizontal="left"/>
    </xf>
    <xf numFmtId="0" fontId="80" fillId="0" borderId="0" xfId="0" applyFont="1" applyBorder="1" applyAlignment="1">
      <alignment horizontal="center"/>
    </xf>
    <xf numFmtId="171" fontId="39" fillId="0" borderId="0" xfId="41" applyNumberFormat="1" applyFill="1"/>
    <xf numFmtId="2" fontId="81" fillId="0" borderId="0" xfId="0" applyNumberFormat="1" applyFont="1"/>
    <xf numFmtId="0" fontId="87" fillId="0" borderId="0" xfId="0" applyNumberFormat="1" applyFont="1" applyBorder="1" applyAlignment="1">
      <alignment horizontal="left"/>
    </xf>
    <xf numFmtId="4" fontId="88" fillId="0" borderId="0" xfId="0" applyNumberFormat="1" applyFont="1" applyBorder="1" applyAlignment="1">
      <alignment horizontal="center"/>
    </xf>
    <xf numFmtId="4" fontId="87" fillId="0" borderId="0" xfId="0" applyNumberFormat="1" applyFont="1" applyBorder="1" applyAlignment="1">
      <alignment horizontal="center"/>
    </xf>
    <xf numFmtId="1" fontId="89" fillId="0" borderId="0" xfId="0" applyNumberFormat="1" applyFont="1" applyBorder="1" applyAlignment="1">
      <alignment horizontal="center"/>
    </xf>
    <xf numFmtId="0" fontId="90" fillId="0" borderId="0" xfId="0" applyNumberFormat="1" applyFont="1" applyBorder="1" applyAlignment="1">
      <alignment horizontal="left"/>
    </xf>
    <xf numFmtId="1" fontId="91" fillId="0" borderId="0" xfId="0" applyNumberFormat="1" applyFont="1" applyBorder="1" applyAlignment="1">
      <alignment horizontal="center"/>
    </xf>
    <xf numFmtId="3" fontId="13" fillId="0" borderId="0" xfId="0" applyNumberFormat="1" applyFont="1" applyBorder="1" applyAlignment="1">
      <alignment horizontal="center"/>
    </xf>
    <xf numFmtId="1" fontId="90" fillId="0" borderId="0" xfId="0" applyNumberFormat="1" applyFont="1" applyBorder="1" applyAlignment="1">
      <alignment horizontal="center"/>
    </xf>
    <xf numFmtId="171" fontId="13" fillId="0" borderId="0" xfId="0" applyNumberFormat="1" applyFont="1" applyBorder="1" applyAlignment="1">
      <alignment horizontal="center"/>
    </xf>
    <xf numFmtId="3" fontId="91" fillId="0" borderId="0" xfId="0" applyNumberFormat="1" applyFont="1" applyBorder="1" applyAlignment="1">
      <alignment horizontal="center"/>
    </xf>
    <xf numFmtId="0" fontId="33" fillId="0" borderId="0" xfId="0" applyNumberFormat="1" applyFont="1" applyBorder="1" applyAlignment="1">
      <alignment horizontal="left"/>
    </xf>
    <xf numFmtId="1" fontId="33" fillId="0" borderId="0" xfId="0" applyNumberFormat="1" applyFont="1" applyBorder="1" applyAlignment="1">
      <alignment horizontal="center"/>
    </xf>
    <xf numFmtId="0" fontId="33" fillId="0" borderId="0" xfId="0" applyNumberFormat="1" applyFont="1" applyBorder="1" applyAlignment="1">
      <alignment horizontal="center"/>
    </xf>
    <xf numFmtId="4" fontId="33" fillId="0" borderId="0" xfId="0" applyNumberFormat="1" applyFont="1" applyBorder="1" applyAlignment="1">
      <alignment horizontal="left"/>
    </xf>
    <xf numFmtId="4" fontId="92" fillId="0" borderId="0" xfId="0" applyNumberFormat="1" applyFont="1" applyBorder="1" applyAlignment="1">
      <alignment horizontal="left"/>
    </xf>
    <xf numFmtId="3" fontId="33" fillId="0" borderId="0" xfId="0" applyNumberFormat="1" applyFont="1" applyBorder="1" applyAlignment="1">
      <alignment horizontal="center"/>
    </xf>
    <xf numFmtId="4" fontId="33" fillId="0" borderId="0" xfId="0" applyNumberFormat="1" applyFont="1" applyBorder="1" applyAlignment="1">
      <alignment horizontal="center"/>
    </xf>
    <xf numFmtId="2" fontId="33" fillId="0" borderId="0" xfId="0" applyNumberFormat="1" applyFont="1" applyBorder="1" applyAlignment="1">
      <alignment horizontal="center"/>
    </xf>
    <xf numFmtId="0" fontId="84" fillId="0" borderId="0" xfId="0" applyFont="1" applyBorder="1" applyAlignment="1">
      <alignment horizontal="left" vertical="top" wrapText="1"/>
    </xf>
    <xf numFmtId="43" fontId="84" fillId="2" borderId="0" xfId="28" applyFont="1" applyFill="1" applyBorder="1" applyAlignment="1">
      <alignment vertical="top" wrapText="1"/>
    </xf>
    <xf numFmtId="0" fontId="84" fillId="0" borderId="0" xfId="0" applyFont="1" applyBorder="1" applyAlignment="1">
      <alignment vertical="top" wrapText="1"/>
    </xf>
    <xf numFmtId="0" fontId="34" fillId="0" borderId="0" xfId="0" applyNumberFormat="1" applyFont="1" applyBorder="1" applyAlignment="1">
      <alignment horizontal="left"/>
    </xf>
    <xf numFmtId="0" fontId="34" fillId="0" borderId="0" xfId="0" applyNumberFormat="1" applyFont="1" applyBorder="1" applyAlignment="1">
      <alignment horizontal="center"/>
    </xf>
    <xf numFmtId="2" fontId="80" fillId="0" borderId="0" xfId="0" applyNumberFormat="1" applyFont="1"/>
    <xf numFmtId="0" fontId="82" fillId="0" borderId="0" xfId="43" applyFont="1"/>
    <xf numFmtId="0" fontId="80" fillId="2" borderId="0" xfId="0" applyFont="1" applyFill="1"/>
    <xf numFmtId="2" fontId="78" fillId="0" borderId="0" xfId="0" applyNumberFormat="1" applyFont="1"/>
    <xf numFmtId="172" fontId="86" fillId="0" borderId="0" xfId="0" applyNumberFormat="1" applyFont="1" applyFill="1"/>
    <xf numFmtId="4" fontId="79" fillId="0" borderId="0" xfId="0" applyNumberFormat="1" applyFont="1"/>
    <xf numFmtId="0" fontId="79" fillId="0" borderId="0" xfId="0" applyFont="1" applyAlignment="1">
      <alignment wrapText="1"/>
    </xf>
    <xf numFmtId="166" fontId="38" fillId="0" borderId="0" xfId="28" applyNumberFormat="1" applyFont="1"/>
    <xf numFmtId="2" fontId="79" fillId="0" borderId="0" xfId="0" applyNumberFormat="1" applyFont="1"/>
    <xf numFmtId="1" fontId="81" fillId="0" borderId="0" xfId="0" applyNumberFormat="1" applyFont="1"/>
    <xf numFmtId="3" fontId="31" fillId="0" borderId="0" xfId="0" applyNumberFormat="1" applyFont="1" applyFill="1"/>
    <xf numFmtId="1" fontId="93" fillId="0" borderId="0" xfId="0" applyNumberFormat="1" applyFont="1"/>
    <xf numFmtId="0" fontId="76" fillId="0" borderId="0" xfId="0" applyFont="1"/>
    <xf numFmtId="3" fontId="94" fillId="0" borderId="0" xfId="0" applyNumberFormat="1" applyFont="1"/>
    <xf numFmtId="0" fontId="85" fillId="0" borderId="0" xfId="0" applyFont="1" applyAlignment="1">
      <alignment wrapText="1"/>
    </xf>
    <xf numFmtId="173" fontId="80" fillId="0" borderId="0" xfId="0" applyNumberFormat="1" applyFont="1" applyAlignment="1">
      <alignment horizontal="center"/>
    </xf>
    <xf numFmtId="173" fontId="81" fillId="0" borderId="0" xfId="0" applyNumberFormat="1" applyFont="1" applyAlignment="1">
      <alignment horizontal="center"/>
    </xf>
    <xf numFmtId="3" fontId="0" fillId="0" borderId="0" xfId="0" applyNumberFormat="1" applyAlignment="1">
      <alignment horizontal="center"/>
    </xf>
    <xf numFmtId="171" fontId="0" fillId="0" borderId="0" xfId="0" applyNumberFormat="1" applyAlignment="1">
      <alignment horizontal="center"/>
    </xf>
    <xf numFmtId="170" fontId="86" fillId="0" borderId="0" xfId="0" applyNumberFormat="1" applyFont="1"/>
    <xf numFmtId="171" fontId="86" fillId="0" borderId="0" xfId="0" applyNumberFormat="1" applyFont="1"/>
    <xf numFmtId="173" fontId="77" fillId="0" borderId="0" xfId="0" applyNumberFormat="1" applyFont="1"/>
    <xf numFmtId="4" fontId="75" fillId="0" borderId="0" xfId="0" applyNumberFormat="1" applyFont="1"/>
    <xf numFmtId="3" fontId="76" fillId="0" borderId="0" xfId="0" applyNumberFormat="1" applyFont="1"/>
    <xf numFmtId="0" fontId="76" fillId="0" borderId="0" xfId="0" applyNumberFormat="1" applyFont="1"/>
    <xf numFmtId="177" fontId="78" fillId="0" borderId="0" xfId="0" applyNumberFormat="1" applyFont="1"/>
    <xf numFmtId="177" fontId="80" fillId="0" borderId="0" xfId="0" applyNumberFormat="1" applyFont="1"/>
    <xf numFmtId="3" fontId="79" fillId="0" borderId="0" xfId="0" applyNumberFormat="1" applyFont="1" applyBorder="1" applyAlignment="1" applyProtection="1">
      <alignment horizontal="left"/>
      <protection locked="0"/>
    </xf>
    <xf numFmtId="9" fontId="84" fillId="0" borderId="0" xfId="46" applyFont="1"/>
    <xf numFmtId="8" fontId="95" fillId="0" borderId="0" xfId="0" applyNumberFormat="1" applyFont="1"/>
    <xf numFmtId="2" fontId="80" fillId="0" borderId="0" xfId="0" applyNumberFormat="1" applyFont="1" applyAlignment="1">
      <alignment horizontal="center"/>
    </xf>
    <xf numFmtId="2" fontId="78" fillId="0" borderId="0" xfId="0" applyNumberFormat="1" applyFont="1" applyAlignment="1">
      <alignment horizontal="center"/>
    </xf>
    <xf numFmtId="0" fontId="80" fillId="0" borderId="0" xfId="0" applyFont="1" applyAlignment="1">
      <alignment horizontal="left"/>
    </xf>
    <xf numFmtId="0" fontId="79" fillId="0" borderId="0" xfId="0" applyFont="1" applyAlignment="1">
      <alignment horizontal="center"/>
    </xf>
    <xf numFmtId="0" fontId="79" fillId="10" borderId="0" xfId="0" applyFont="1" applyFill="1" applyAlignment="1">
      <alignment horizontal="center"/>
    </xf>
    <xf numFmtId="0" fontId="79" fillId="0" borderId="0" xfId="0" applyFont="1" applyAlignment="1">
      <alignment horizontal="left"/>
    </xf>
    <xf numFmtId="1" fontId="62" fillId="0" borderId="0" xfId="0" applyNumberFormat="1" applyFont="1" applyAlignment="1">
      <alignment horizontal="center"/>
    </xf>
    <xf numFmtId="0" fontId="81" fillId="0" borderId="0" xfId="0" applyFont="1" applyAlignment="1"/>
    <xf numFmtId="166" fontId="62" fillId="0" borderId="0" xfId="28" applyNumberFormat="1" applyFont="1" applyAlignment="1">
      <alignment horizontal="center"/>
    </xf>
    <xf numFmtId="167" fontId="77" fillId="0" borderId="0" xfId="0" applyNumberFormat="1" applyFont="1"/>
    <xf numFmtId="4" fontId="78" fillId="0" borderId="0" xfId="0" applyNumberFormat="1" applyFont="1"/>
    <xf numFmtId="3" fontId="82" fillId="0" borderId="0" xfId="0" applyNumberFormat="1" applyFont="1" applyAlignment="1">
      <alignment vertical="center"/>
    </xf>
    <xf numFmtId="3" fontId="79" fillId="0" borderId="0" xfId="0" applyNumberFormat="1" applyFont="1" applyFill="1"/>
    <xf numFmtId="3" fontId="81" fillId="0" borderId="0" xfId="0" applyNumberFormat="1" applyFont="1"/>
    <xf numFmtId="1" fontId="76" fillId="0" borderId="0" xfId="0" applyNumberFormat="1" applyFont="1"/>
    <xf numFmtId="40" fontId="80" fillId="0" borderId="0" xfId="0" applyNumberFormat="1" applyFont="1"/>
    <xf numFmtId="0" fontId="96" fillId="0" borderId="0" xfId="0" applyFont="1"/>
    <xf numFmtId="176" fontId="80" fillId="0" borderId="0" xfId="0" applyNumberFormat="1" applyFont="1"/>
    <xf numFmtId="165" fontId="79" fillId="0" borderId="0" xfId="0" applyNumberFormat="1" applyFont="1"/>
    <xf numFmtId="176" fontId="78" fillId="0" borderId="0" xfId="0" applyNumberFormat="1" applyFont="1"/>
    <xf numFmtId="3" fontId="79" fillId="0" borderId="0" xfId="0" applyNumberFormat="1" applyFont="1" applyAlignment="1">
      <alignment horizontal="center"/>
    </xf>
    <xf numFmtId="3" fontId="79" fillId="0" borderId="7" xfId="0" applyNumberFormat="1" applyFont="1" applyBorder="1" applyAlignment="1" applyProtection="1">
      <alignment horizontal="center" vertical="center"/>
    </xf>
    <xf numFmtId="3" fontId="79" fillId="0" borderId="0" xfId="0" applyNumberFormat="1" applyFont="1" applyBorder="1" applyAlignment="1" applyProtection="1">
      <alignment horizontal="center" vertical="center"/>
    </xf>
    <xf numFmtId="165" fontId="38" fillId="0" borderId="0" xfId="46" applyNumberFormat="1" applyFont="1" applyAlignment="1">
      <alignment horizontal="center"/>
    </xf>
    <xf numFmtId="0" fontId="80" fillId="0" borderId="0" xfId="0" applyFont="1" applyBorder="1"/>
    <xf numFmtId="173" fontId="97" fillId="0" borderId="0" xfId="0" applyNumberFormat="1" applyFont="1" applyBorder="1" applyAlignment="1"/>
    <xf numFmtId="173" fontId="78" fillId="0" borderId="0" xfId="0" applyNumberFormat="1" applyFont="1" applyBorder="1"/>
    <xf numFmtId="0" fontId="82" fillId="0" borderId="0" xfId="0" applyNumberFormat="1" applyFont="1" applyBorder="1" applyAlignment="1"/>
    <xf numFmtId="0" fontId="82" fillId="0" borderId="0" xfId="0" applyNumberFormat="1" applyFont="1" applyFill="1" applyBorder="1" applyAlignment="1"/>
    <xf numFmtId="0" fontId="79" fillId="0" borderId="0" xfId="0" applyFont="1" applyBorder="1"/>
    <xf numFmtId="0" fontId="81" fillId="0" borderId="0" xfId="0" applyFont="1" applyBorder="1"/>
    <xf numFmtId="0" fontId="81" fillId="0" borderId="0" xfId="0" applyFont="1" applyFill="1" applyBorder="1"/>
    <xf numFmtId="1" fontId="67" fillId="0" borderId="0" xfId="0" applyNumberFormat="1" applyFont="1" applyBorder="1" applyAlignment="1"/>
    <xf numFmtId="2" fontId="79" fillId="0" borderId="0" xfId="0" applyNumberFormat="1" applyFont="1" applyBorder="1"/>
    <xf numFmtId="166" fontId="67" fillId="0" borderId="0" xfId="28" applyNumberFormat="1" applyFont="1" applyBorder="1" applyAlignment="1"/>
    <xf numFmtId="166" fontId="82" fillId="0" borderId="0" xfId="28" applyNumberFormat="1" applyFont="1" applyBorder="1" applyAlignment="1"/>
    <xf numFmtId="10" fontId="67" fillId="0" borderId="0" xfId="0" applyNumberFormat="1" applyFont="1" applyBorder="1" applyAlignment="1"/>
    <xf numFmtId="0" fontId="86" fillId="0" borderId="0" xfId="0" applyNumberFormat="1" applyFont="1" applyBorder="1" applyAlignment="1"/>
    <xf numFmtId="173" fontId="80" fillId="0" borderId="0" xfId="0" applyNumberFormat="1" applyFont="1" applyBorder="1" applyAlignment="1">
      <alignment vertical="top" wrapText="1"/>
    </xf>
    <xf numFmtId="173" fontId="77" fillId="0" borderId="0" xfId="0" applyNumberFormat="1" applyFont="1" applyBorder="1" applyAlignment="1"/>
    <xf numFmtId="0" fontId="79" fillId="0" borderId="0" xfId="0" applyFont="1" applyBorder="1" applyAlignment="1"/>
    <xf numFmtId="0" fontId="76" fillId="0" borderId="0" xfId="0" applyNumberFormat="1" applyFont="1" applyBorder="1" applyAlignment="1"/>
    <xf numFmtId="0" fontId="35" fillId="0" borderId="0" xfId="0" applyNumberFormat="1" applyFont="1" applyBorder="1" applyAlignment="1"/>
    <xf numFmtId="0" fontId="84" fillId="0" borderId="0" xfId="0" applyFont="1" applyBorder="1" applyAlignment="1"/>
    <xf numFmtId="0" fontId="75" fillId="0" borderId="0" xfId="0" applyNumberFormat="1" applyFont="1" applyBorder="1" applyAlignment="1"/>
    <xf numFmtId="0" fontId="79" fillId="0" borderId="0" xfId="0" applyFont="1" applyBorder="1" applyAlignment="1">
      <alignment vertical="top" wrapText="1"/>
    </xf>
    <xf numFmtId="166" fontId="38" fillId="0" borderId="1" xfId="28" applyNumberFormat="1" applyFont="1" applyFill="1" applyBorder="1" applyAlignment="1"/>
    <xf numFmtId="173" fontId="0" fillId="0" borderId="1" xfId="0" applyNumberFormat="1" applyFill="1" applyBorder="1" applyAlignment="1"/>
    <xf numFmtId="0" fontId="0" fillId="0" borderId="0" xfId="0" applyFill="1" applyBorder="1" applyAlignment="1">
      <alignment horizontal="right"/>
    </xf>
    <xf numFmtId="3" fontId="0" fillId="0" borderId="1" xfId="0" applyNumberFormat="1" applyFill="1" applyBorder="1" applyAlignment="1" applyProtection="1">
      <protection locked="0"/>
    </xf>
    <xf numFmtId="9" fontId="38" fillId="0" borderId="1" xfId="46" applyFont="1" applyFill="1" applyBorder="1" applyAlignment="1"/>
    <xf numFmtId="165" fontId="38" fillId="0" borderId="1" xfId="46" applyNumberFormat="1" applyFont="1" applyFill="1" applyBorder="1" applyAlignment="1"/>
    <xf numFmtId="166" fontId="0" fillId="0" borderId="1" xfId="0" applyNumberFormat="1" applyFill="1" applyBorder="1" applyAlignment="1">
      <alignment horizontal="right"/>
    </xf>
    <xf numFmtId="0" fontId="0" fillId="0" borderId="1" xfId="0" quotePrefix="1" applyFill="1" applyBorder="1" applyAlignment="1"/>
    <xf numFmtId="3" fontId="38" fillId="0" borderId="1" xfId="28" applyNumberFormat="1" applyFont="1" applyFill="1" applyBorder="1" applyAlignment="1"/>
    <xf numFmtId="0" fontId="2" fillId="0" borderId="0" xfId="0" applyFont="1" applyFill="1" applyBorder="1" applyAlignment="1" applyProtection="1">
      <alignment horizontal="right"/>
      <protection locked="0"/>
    </xf>
    <xf numFmtId="37" fontId="38" fillId="0" borderId="0" xfId="28" applyNumberFormat="1" applyFont="1" applyFill="1" applyBorder="1" applyAlignment="1"/>
    <xf numFmtId="166" fontId="38" fillId="0" borderId="0" xfId="28" applyNumberFormat="1" applyFont="1" applyFill="1" applyBorder="1"/>
    <xf numFmtId="0" fontId="0" fillId="0" borderId="1" xfId="0" applyFill="1" applyBorder="1" applyAlignment="1"/>
    <xf numFmtId="1" fontId="0" fillId="0" borderId="1" xfId="0" applyNumberFormat="1" applyFill="1" applyBorder="1" applyAlignment="1"/>
    <xf numFmtId="37" fontId="38" fillId="0" borderId="0" xfId="28" applyNumberFormat="1" applyFont="1" applyFill="1" applyBorder="1" applyAlignment="1"/>
    <xf numFmtId="166" fontId="78" fillId="0" borderId="0" xfId="28" applyNumberFormat="1" applyFont="1" applyBorder="1" applyAlignment="1">
      <alignment horizontal="right" indent="1"/>
    </xf>
    <xf numFmtId="2" fontId="75" fillId="0" borderId="0" xfId="42" applyNumberFormat="1" applyFont="1" applyFill="1" applyAlignment="1">
      <alignment horizontal="left"/>
    </xf>
    <xf numFmtId="3" fontId="75" fillId="0" borderId="0" xfId="42" applyNumberFormat="1" applyFont="1" applyFill="1" applyAlignment="1">
      <alignment horizontal="left"/>
    </xf>
    <xf numFmtId="2" fontId="76" fillId="0" borderId="0" xfId="42" applyNumberFormat="1" applyFont="1" applyFill="1" applyAlignment="1">
      <alignment horizontal="left"/>
    </xf>
    <xf numFmtId="0" fontId="81" fillId="2" borderId="0" xfId="0" applyFont="1" applyFill="1" applyAlignment="1"/>
    <xf numFmtId="0" fontId="91" fillId="0" borderId="0" xfId="0" applyNumberFormat="1" applyFont="1" applyBorder="1" applyAlignment="1">
      <alignment horizontal="left"/>
    </xf>
    <xf numFmtId="0" fontId="79" fillId="0" borderId="0" xfId="0" applyFont="1" applyAlignment="1"/>
    <xf numFmtId="0" fontId="75" fillId="0" borderId="0" xfId="0" applyFont="1"/>
    <xf numFmtId="37" fontId="38" fillId="0" borderId="0" xfId="28" applyNumberFormat="1" applyFont="1" applyFill="1" applyBorder="1" applyAlignment="1">
      <alignment horizontal="right"/>
    </xf>
    <xf numFmtId="0" fontId="58" fillId="0" borderId="0" xfId="0" applyFont="1" applyAlignment="1">
      <alignment horizontal="left"/>
    </xf>
    <xf numFmtId="0" fontId="58" fillId="0" borderId="0" xfId="0" applyFont="1" applyFill="1" applyBorder="1" applyAlignment="1">
      <alignment horizontal="left"/>
    </xf>
    <xf numFmtId="37" fontId="0" fillId="0" borderId="0" xfId="0" applyNumberFormat="1"/>
    <xf numFmtId="9" fontId="38" fillId="0" borderId="0" xfId="46" applyFont="1"/>
    <xf numFmtId="2" fontId="79" fillId="0" borderId="0" xfId="0" applyNumberFormat="1" applyFont="1" applyFill="1" applyBorder="1" applyAlignment="1"/>
    <xf numFmtId="2" fontId="79" fillId="0" borderId="0" xfId="0" applyNumberFormat="1" applyFont="1" applyFill="1" applyBorder="1" applyAlignment="1">
      <alignment vertical="top" wrapText="1"/>
    </xf>
    <xf numFmtId="2" fontId="79" fillId="3" borderId="0" xfId="0" applyNumberFormat="1" applyFont="1" applyFill="1"/>
    <xf numFmtId="0" fontId="98" fillId="0" borderId="0" xfId="0" applyFont="1" applyFill="1" applyBorder="1" applyAlignment="1">
      <alignment horizontal="right"/>
    </xf>
    <xf numFmtId="0" fontId="98" fillId="0" borderId="0" xfId="0" applyFont="1" applyBorder="1"/>
    <xf numFmtId="0" fontId="98" fillId="2" borderId="1" xfId="0" applyFont="1" applyFill="1" applyBorder="1" applyAlignment="1">
      <alignment horizontal="right"/>
    </xf>
    <xf numFmtId="2" fontId="85" fillId="0" borderId="0" xfId="0" applyNumberFormat="1" applyFont="1" applyFill="1" applyBorder="1" applyAlignment="1"/>
    <xf numFmtId="2" fontId="85" fillId="0" borderId="0" xfId="0" applyNumberFormat="1" applyFont="1"/>
    <xf numFmtId="2" fontId="84" fillId="0" borderId="0" xfId="0" applyNumberFormat="1" applyFont="1" applyBorder="1"/>
    <xf numFmtId="171" fontId="0" fillId="0" borderId="0" xfId="0" applyNumberFormat="1" applyAlignment="1">
      <alignment horizontal="right"/>
    </xf>
    <xf numFmtId="165" fontId="99" fillId="0" borderId="0" xfId="46" applyNumberFormat="1" applyFont="1"/>
    <xf numFmtId="165" fontId="98" fillId="0" borderId="0" xfId="46" applyNumberFormat="1" applyFont="1"/>
    <xf numFmtId="171" fontId="98" fillId="0" borderId="0" xfId="0" applyNumberFormat="1" applyFont="1" applyAlignment="1">
      <alignment horizontal="right"/>
    </xf>
    <xf numFmtId="0" fontId="98" fillId="0" borderId="0" xfId="0" applyFont="1" applyAlignment="1">
      <alignment horizontal="right"/>
    </xf>
    <xf numFmtId="165" fontId="38" fillId="0" borderId="0" xfId="46" applyNumberFormat="1" applyFont="1"/>
    <xf numFmtId="165" fontId="79" fillId="0" borderId="0" xfId="46" applyNumberFormat="1" applyFont="1"/>
    <xf numFmtId="0" fontId="81" fillId="7" borderId="0" xfId="0" applyFont="1" applyFill="1" applyAlignment="1">
      <alignment horizontal="center"/>
    </xf>
    <xf numFmtId="3" fontId="75" fillId="0" borderId="1" xfId="0" applyNumberFormat="1" applyFont="1" applyFill="1" applyBorder="1"/>
    <xf numFmtId="178" fontId="0" fillId="0" borderId="1" xfId="0" applyNumberFormat="1" applyFill="1" applyBorder="1" applyAlignment="1"/>
    <xf numFmtId="3" fontId="100" fillId="0" borderId="0" xfId="0" applyNumberFormat="1" applyFont="1" applyFill="1"/>
    <xf numFmtId="8" fontId="101" fillId="0" borderId="0" xfId="0" applyNumberFormat="1" applyFont="1"/>
    <xf numFmtId="2" fontId="39" fillId="0" borderId="0" xfId="0" applyNumberFormat="1" applyFont="1" applyBorder="1" applyAlignment="1"/>
    <xf numFmtId="9" fontId="79" fillId="0" borderId="0" xfId="0" applyNumberFormat="1" applyFont="1" applyFill="1" applyBorder="1" applyAlignment="1"/>
    <xf numFmtId="166" fontId="79" fillId="3" borderId="0" xfId="28" applyNumberFormat="1" applyFont="1" applyFill="1"/>
    <xf numFmtId="165" fontId="38" fillId="3" borderId="0" xfId="46" applyNumberFormat="1" applyFill="1"/>
    <xf numFmtId="3" fontId="85" fillId="0" borderId="0" xfId="0" applyNumberFormat="1" applyFont="1"/>
    <xf numFmtId="166" fontId="84" fillId="0" borderId="0" xfId="28" applyNumberFormat="1" applyFont="1"/>
    <xf numFmtId="166" fontId="75" fillId="0" borderId="0" xfId="28" applyNumberFormat="1" applyFont="1"/>
    <xf numFmtId="166" fontId="5" fillId="0" borderId="0" xfId="28" applyNumberFormat="1" applyFont="1"/>
    <xf numFmtId="166" fontId="6" fillId="0" borderId="0" xfId="28" applyNumberFormat="1" applyFont="1"/>
    <xf numFmtId="9" fontId="5" fillId="0" borderId="0" xfId="0" applyNumberFormat="1" applyFont="1"/>
    <xf numFmtId="9" fontId="5" fillId="0" borderId="0" xfId="46" applyNumberFormat="1" applyFont="1"/>
    <xf numFmtId="4" fontId="5" fillId="0" borderId="0" xfId="0" applyNumberFormat="1" applyFont="1" applyAlignment="1">
      <alignment horizontal="right"/>
    </xf>
    <xf numFmtId="4" fontId="102" fillId="0" borderId="0" xfId="0" applyNumberFormat="1" applyFont="1" applyAlignment="1">
      <alignment horizontal="right"/>
    </xf>
    <xf numFmtId="3" fontId="102" fillId="0" borderId="0" xfId="0" applyNumberFormat="1" applyFont="1" applyAlignment="1">
      <alignment horizontal="right"/>
    </xf>
    <xf numFmtId="2" fontId="79" fillId="2" borderId="1" xfId="0" applyNumberFormat="1" applyFont="1" applyFill="1" applyBorder="1" applyAlignment="1">
      <alignment horizontal="center"/>
    </xf>
    <xf numFmtId="17" fontId="0" fillId="0" borderId="0" xfId="0" applyNumberFormat="1"/>
    <xf numFmtId="0" fontId="102" fillId="0" borderId="0" xfId="0" applyFont="1" applyAlignment="1">
      <alignment horizontal="right"/>
    </xf>
    <xf numFmtId="0" fontId="102" fillId="0" borderId="0" xfId="0" applyFont="1"/>
    <xf numFmtId="16" fontId="0" fillId="0" borderId="0" xfId="0" applyNumberFormat="1"/>
    <xf numFmtId="11" fontId="0" fillId="0" borderId="0" xfId="0" applyNumberFormat="1"/>
    <xf numFmtId="3" fontId="75" fillId="0" borderId="0" xfId="0" applyNumberFormat="1" applyFont="1"/>
    <xf numFmtId="1" fontId="85" fillId="0" borderId="0" xfId="0" applyNumberFormat="1" applyFont="1"/>
    <xf numFmtId="0" fontId="75" fillId="8" borderId="0" xfId="0" applyNumberFormat="1" applyFont="1" applyFill="1"/>
    <xf numFmtId="0" fontId="64" fillId="0" borderId="0" xfId="0" applyNumberFormat="1" applyFont="1"/>
    <xf numFmtId="1" fontId="79" fillId="0" borderId="0" xfId="28" applyNumberFormat="1" applyFont="1"/>
    <xf numFmtId="0" fontId="64" fillId="8" borderId="0" xfId="0" applyNumberFormat="1" applyFont="1" applyFill="1"/>
    <xf numFmtId="1" fontId="38" fillId="0" borderId="0" xfId="28" applyNumberFormat="1" applyFont="1"/>
    <xf numFmtId="0" fontId="102" fillId="0" borderId="0" xfId="0" applyFont="1" applyFill="1" applyAlignment="1">
      <alignment horizontal="right" wrapText="1"/>
    </xf>
    <xf numFmtId="0" fontId="102" fillId="2" borderId="1" xfId="0" applyFont="1" applyFill="1" applyBorder="1" applyAlignment="1">
      <alignment horizontal="right" wrapText="1"/>
    </xf>
    <xf numFmtId="0" fontId="0" fillId="0" borderId="4" xfId="0" applyBorder="1" applyAlignment="1">
      <alignment horizontal="right"/>
    </xf>
    <xf numFmtId="8" fontId="0" fillId="0" borderId="5" xfId="0" applyNumberFormat="1" applyBorder="1"/>
    <xf numFmtId="8" fontId="0" fillId="0" borderId="6" xfId="0" applyNumberFormat="1" applyBorder="1"/>
    <xf numFmtId="166" fontId="62" fillId="0" borderId="0" xfId="0" applyNumberFormat="1" applyFont="1" applyAlignment="1">
      <alignment horizontal="center"/>
    </xf>
    <xf numFmtId="9" fontId="38" fillId="0" borderId="0" xfId="46" applyFont="1" applyAlignment="1"/>
    <xf numFmtId="9" fontId="79" fillId="0" borderId="0" xfId="0" applyNumberFormat="1" applyFont="1"/>
    <xf numFmtId="166" fontId="0" fillId="0" borderId="0" xfId="0" applyNumberFormat="1" applyFont="1" applyBorder="1"/>
    <xf numFmtId="164" fontId="0" fillId="0" borderId="0" xfId="0" applyNumberFormat="1" applyFont="1" applyBorder="1"/>
    <xf numFmtId="173" fontId="0" fillId="0" borderId="0" xfId="0" applyNumberFormat="1" applyFont="1" applyBorder="1"/>
    <xf numFmtId="173" fontId="23" fillId="0" borderId="0" xfId="0" applyNumberFormat="1" applyFont="1" applyBorder="1" applyAlignment="1"/>
    <xf numFmtId="166" fontId="76" fillId="0" borderId="0" xfId="28" applyNumberFormat="1" applyFont="1" applyBorder="1" applyAlignment="1"/>
    <xf numFmtId="0" fontId="5" fillId="2" borderId="0" xfId="0" applyNumberFormat="1" applyFont="1" applyFill="1"/>
    <xf numFmtId="166" fontId="0" fillId="0" borderId="0" xfId="28" applyNumberFormat="1" applyFont="1"/>
    <xf numFmtId="2" fontId="5" fillId="0" borderId="0" xfId="0" applyNumberFormat="1" applyFont="1"/>
    <xf numFmtId="0" fontId="6" fillId="0" borderId="0" xfId="0" applyNumberFormat="1" applyFont="1"/>
    <xf numFmtId="166" fontId="58" fillId="0" borderId="0" xfId="28" applyNumberFormat="1" applyFont="1"/>
    <xf numFmtId="0" fontId="6" fillId="0" borderId="0" xfId="0" applyFont="1"/>
    <xf numFmtId="2" fontId="5" fillId="0" borderId="0" xfId="0" applyNumberFormat="1" applyFont="1" applyAlignment="1">
      <alignment horizontal="right"/>
    </xf>
    <xf numFmtId="173" fontId="0" fillId="0" borderId="0" xfId="46" applyNumberFormat="1" applyFont="1"/>
    <xf numFmtId="0" fontId="5" fillId="31" borderId="0" xfId="0" applyFont="1" applyFill="1"/>
    <xf numFmtId="3" fontId="0" fillId="0" borderId="0" xfId="0" applyNumberFormat="1" applyFill="1" applyBorder="1"/>
    <xf numFmtId="9" fontId="0" fillId="0" borderId="0" xfId="0" applyNumberFormat="1" applyFill="1" applyBorder="1" applyAlignment="1"/>
    <xf numFmtId="37" fontId="38" fillId="32" borderId="0" xfId="28" applyNumberFormat="1" applyFont="1" applyFill="1" applyBorder="1" applyAlignment="1"/>
    <xf numFmtId="3" fontId="0" fillId="32" borderId="0" xfId="0" applyNumberFormat="1" applyFill="1" applyBorder="1"/>
    <xf numFmtId="9" fontId="0" fillId="32" borderId="0" xfId="0" applyNumberFormat="1" applyFill="1" applyBorder="1" applyAlignment="1"/>
    <xf numFmtId="0" fontId="0" fillId="32" borderId="0" xfId="0" applyFill="1" applyBorder="1" applyAlignment="1">
      <alignment horizontal="right"/>
    </xf>
    <xf numFmtId="0" fontId="0" fillId="32" borderId="0" xfId="0" applyFill="1" applyBorder="1"/>
    <xf numFmtId="0" fontId="104" fillId="0" borderId="0" xfId="0" applyFont="1"/>
    <xf numFmtId="3" fontId="0" fillId="0" borderId="0" xfId="0" applyNumberFormat="1" applyFill="1" applyBorder="1" applyAlignment="1">
      <alignment horizontal="center"/>
    </xf>
    <xf numFmtId="1" fontId="105" fillId="0" borderId="1" xfId="0" applyNumberFormat="1" applyFont="1" applyFill="1" applyBorder="1" applyAlignment="1"/>
    <xf numFmtId="3" fontId="105" fillId="0" borderId="1" xfId="0" applyNumberFormat="1" applyFont="1" applyFill="1" applyBorder="1" applyAlignment="1" applyProtection="1">
      <protection locked="0"/>
    </xf>
    <xf numFmtId="166" fontId="105" fillId="0" borderId="1" xfId="28" applyNumberFormat="1" applyFont="1" applyFill="1" applyBorder="1" applyAlignment="1"/>
    <xf numFmtId="3" fontId="106" fillId="0" borderId="1" xfId="0" applyNumberFormat="1" applyFont="1" applyFill="1" applyBorder="1"/>
    <xf numFmtId="37" fontId="38" fillId="0" borderId="17" xfId="28" applyNumberFormat="1" applyFont="1" applyFill="1" applyBorder="1" applyAlignment="1"/>
    <xf numFmtId="9" fontId="0" fillId="0" borderId="17" xfId="0" applyNumberFormat="1" applyBorder="1"/>
    <xf numFmtId="37" fontId="38" fillId="0" borderId="17" xfId="28" applyNumberFormat="1" applyFont="1" applyFill="1" applyBorder="1" applyAlignment="1">
      <alignment horizontal="right"/>
    </xf>
    <xf numFmtId="0" fontId="0" fillId="0" borderId="17" xfId="0" applyFill="1" applyBorder="1" applyAlignment="1">
      <alignment horizontal="right"/>
    </xf>
    <xf numFmtId="37" fontId="0" fillId="0" borderId="17" xfId="28" applyNumberFormat="1" applyFont="1" applyFill="1" applyBorder="1" applyAlignment="1">
      <alignment horizontal="right"/>
    </xf>
    <xf numFmtId="0" fontId="0" fillId="5" borderId="0" xfId="0" applyFont="1" applyFill="1" applyAlignment="1">
      <alignment horizontal="left" vertical="top"/>
    </xf>
    <xf numFmtId="173" fontId="0" fillId="5" borderId="0" xfId="0" applyNumberFormat="1" applyFill="1"/>
    <xf numFmtId="3" fontId="0" fillId="0" borderId="0" xfId="0" applyNumberFormat="1" applyBorder="1" applyAlignment="1">
      <alignment horizontal="center"/>
    </xf>
    <xf numFmtId="3" fontId="57" fillId="0" borderId="0" xfId="0" applyNumberFormat="1" applyFont="1"/>
    <xf numFmtId="10" fontId="5" fillId="0" borderId="0" xfId="0" applyNumberFormat="1" applyFont="1"/>
    <xf numFmtId="40" fontId="29" fillId="0" borderId="0" xfId="0" applyNumberFormat="1" applyFont="1"/>
    <xf numFmtId="0" fontId="0" fillId="0" borderId="0" xfId="0" applyAlignment="1">
      <alignment horizontal="left"/>
    </xf>
    <xf numFmtId="2" fontId="0" fillId="0" borderId="0" xfId="0" applyNumberFormat="1" applyAlignment="1">
      <alignment horizontal="right" indent="1"/>
    </xf>
    <xf numFmtId="164" fontId="0" fillId="0" borderId="0" xfId="0" applyNumberFormat="1"/>
    <xf numFmtId="3" fontId="0" fillId="0" borderId="0" xfId="0" applyNumberFormat="1" applyAlignment="1">
      <alignment horizontal="right"/>
    </xf>
    <xf numFmtId="179" fontId="0" fillId="0" borderId="0" xfId="0" applyNumberFormat="1"/>
    <xf numFmtId="166" fontId="0" fillId="0" borderId="17" xfId="28" applyNumberFormat="1" applyFont="1" applyBorder="1"/>
    <xf numFmtId="166" fontId="0" fillId="0" borderId="17" xfId="0" applyNumberFormat="1" applyBorder="1"/>
    <xf numFmtId="165" fontId="38" fillId="0" borderId="17" xfId="46" applyNumberFormat="1" applyFont="1" applyFill="1" applyBorder="1" applyAlignment="1"/>
    <xf numFmtId="0" fontId="0" fillId="0" borderId="0" xfId="0" applyAlignment="1">
      <alignment horizontal="center" wrapText="1"/>
    </xf>
    <xf numFmtId="180" fontId="0" fillId="0" borderId="1" xfId="0" applyNumberFormat="1" applyFill="1" applyBorder="1" applyAlignment="1"/>
    <xf numFmtId="180" fontId="38" fillId="0" borderId="1" xfId="28" applyNumberFormat="1" applyFont="1" applyFill="1" applyBorder="1" applyAlignment="1"/>
    <xf numFmtId="43" fontId="0" fillId="0" borderId="0" xfId="28" applyFont="1"/>
    <xf numFmtId="166" fontId="0" fillId="0" borderId="0" xfId="0" applyNumberFormat="1" applyFill="1" applyBorder="1" applyAlignment="1"/>
    <xf numFmtId="9" fontId="38" fillId="0" borderId="1" xfId="46" applyFont="1" applyFill="1" applyBorder="1" applyAlignment="1">
      <alignment horizontal="center"/>
    </xf>
    <xf numFmtId="0" fontId="5" fillId="0" borderId="0" xfId="0" applyFont="1" applyAlignment="1">
      <alignment vertical="top" wrapText="1"/>
    </xf>
    <xf numFmtId="0" fontId="6" fillId="4" borderId="0" xfId="0" applyFont="1" applyFill="1" applyAlignment="1">
      <alignment horizontal="center"/>
    </xf>
    <xf numFmtId="0" fontId="5" fillId="4" borderId="0" xfId="0" applyFont="1" applyFill="1" applyAlignment="1">
      <alignment horizontal="center"/>
    </xf>
    <xf numFmtId="0" fontId="5" fillId="0" borderId="0" xfId="0" applyFont="1" applyFill="1" applyAlignment="1">
      <alignment wrapText="1"/>
    </xf>
    <xf numFmtId="0" fontId="5" fillId="0" borderId="0" xfId="0" applyFont="1" applyFill="1" applyAlignment="1">
      <alignment vertical="top" wrapText="1"/>
    </xf>
    <xf numFmtId="0" fontId="6" fillId="0" borderId="0" xfId="0" applyFont="1" applyFill="1" applyAlignment="1">
      <alignment horizontal="center"/>
    </xf>
    <xf numFmtId="0" fontId="5" fillId="0" borderId="0" xfId="0" applyFont="1" applyFill="1" applyAlignment="1">
      <alignment horizontal="center"/>
    </xf>
    <xf numFmtId="0" fontId="6" fillId="3" borderId="0" xfId="43" applyFont="1" applyFill="1" applyAlignment="1">
      <alignment horizontal="center"/>
    </xf>
    <xf numFmtId="0" fontId="8" fillId="3" borderId="0" xfId="43" applyFont="1" applyFill="1" applyAlignment="1">
      <alignment vertical="top" wrapText="1"/>
    </xf>
    <xf numFmtId="0" fontId="5" fillId="3" borderId="0" xfId="43" applyFont="1" applyFill="1" applyAlignment="1">
      <alignment vertical="top" wrapText="1"/>
    </xf>
    <xf numFmtId="0" fontId="28" fillId="3" borderId="0" xfId="43" applyFont="1" applyFill="1" applyAlignment="1">
      <alignment vertical="top" wrapText="1"/>
    </xf>
    <xf numFmtId="0" fontId="6" fillId="3" borderId="0" xfId="0" applyFont="1" applyFill="1" applyAlignment="1">
      <alignment horizontal="center"/>
    </xf>
    <xf numFmtId="0" fontId="5" fillId="0" borderId="0" xfId="0" applyFont="1" applyAlignment="1">
      <alignment vertical="top"/>
    </xf>
    <xf numFmtId="0" fontId="59" fillId="3" borderId="0" xfId="0" applyFont="1" applyFill="1" applyAlignment="1">
      <alignment horizontal="center"/>
    </xf>
    <xf numFmtId="0" fontId="57" fillId="3" borderId="0" xfId="0" applyFont="1" applyFill="1" applyAlignment="1">
      <alignment horizontal="center"/>
    </xf>
    <xf numFmtId="0" fontId="57" fillId="3" borderId="0" xfId="0" applyFont="1" applyFill="1" applyAlignment="1"/>
    <xf numFmtId="0" fontId="8" fillId="3" borderId="0" xfId="0" applyFont="1" applyFill="1" applyAlignment="1">
      <alignment vertical="top" wrapText="1"/>
    </xf>
    <xf numFmtId="0" fontId="7" fillId="3" borderId="0" xfId="0" applyFont="1" applyFill="1" applyAlignment="1">
      <alignment vertical="top" wrapText="1"/>
    </xf>
    <xf numFmtId="0" fontId="5" fillId="3" borderId="0" xfId="0" applyFont="1" applyFill="1" applyAlignment="1">
      <alignment vertical="top" wrapText="1"/>
    </xf>
    <xf numFmtId="0" fontId="71" fillId="3" borderId="0" xfId="0" applyFont="1" applyFill="1" applyBorder="1" applyAlignment="1">
      <alignment horizontal="left" vertical="top" wrapText="1"/>
    </xf>
    <xf numFmtId="0" fontId="67" fillId="3" borderId="0" xfId="0" applyNumberFormat="1" applyFont="1" applyFill="1" applyBorder="1" applyAlignment="1">
      <alignment horizontal="center"/>
    </xf>
    <xf numFmtId="1" fontId="67" fillId="3" borderId="0" xfId="0" applyNumberFormat="1" applyFont="1" applyFill="1" applyBorder="1" applyAlignment="1">
      <alignment horizontal="center"/>
    </xf>
    <xf numFmtId="0" fontId="67" fillId="11" borderId="0" xfId="0" applyNumberFormat="1" applyFont="1" applyFill="1" applyBorder="1" applyAlignment="1">
      <alignment horizontal="center"/>
    </xf>
    <xf numFmtId="1" fontId="67" fillId="11" borderId="0" xfId="0" applyNumberFormat="1" applyFont="1" applyFill="1" applyBorder="1" applyAlignment="1">
      <alignment horizontal="center"/>
    </xf>
    <xf numFmtId="0" fontId="71" fillId="3" borderId="0" xfId="0" applyFont="1" applyFill="1" applyBorder="1" applyAlignment="1">
      <alignment horizontal="center" vertical="center" wrapText="1"/>
    </xf>
  </cellXfs>
  <cellStyles count="6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51"/>
    <cellStyle name="Explanatory Text" xfId="29"/>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30"/>
    <cellStyle name="Heading 1" xfId="31"/>
    <cellStyle name="Heading 2" xfId="32"/>
    <cellStyle name="Heading 3" xfId="33"/>
    <cellStyle name="Heading 4" xfId="34"/>
    <cellStyle name="Hyperlink" xfId="35" builtinId="8"/>
    <cellStyle name="Hyperlink 2" xfId="36"/>
    <cellStyle name="Input" xfId="37"/>
    <cellStyle name="Linked Cell" xfId="38"/>
    <cellStyle name="Neutral" xfId="39"/>
    <cellStyle name="Normal" xfId="0" builtinId="0"/>
    <cellStyle name="Normal 2" xfId="40"/>
    <cellStyle name="Normal 3" xfId="41"/>
    <cellStyle name="Normal 4" xfId="50"/>
    <cellStyle name="Normal 5" xfId="42"/>
    <cellStyle name="Normal 6" xfId="43"/>
    <cellStyle name="Note" xfId="44"/>
    <cellStyle name="Output" xfId="45"/>
    <cellStyle name="Percent" xfId="46" builtinId="5"/>
    <cellStyle name="Title" xfId="47"/>
    <cellStyle name="Total" xfId="48"/>
    <cellStyle name="Warning Text" xfId="49"/>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theme" Target="theme/theme1.xml"/><Relationship Id="rId32" Type="http://schemas.openxmlformats.org/officeDocument/2006/relationships/styles" Target="styles.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sharedStrings" Target="sharedStrings.xml"/><Relationship Id="rId34"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6.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7.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8.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9.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2"/>
          <c:order val="2"/>
          <c:tx>
            <c:strRef>
              <c:f>'GPI Summary Per Capita'!$B$6:$C$6</c:f>
              <c:strCache>
                <c:ptCount val="2"/>
                <c:pt idx="0">
                  <c:v>Genuine Progress Indicator</c:v>
                </c:pt>
                <c:pt idx="1">
                  <c:v> $2011 per capita</c:v>
                </c:pt>
              </c:strCache>
            </c:strRef>
          </c:tx>
          <c:spPr>
            <a:gradFill rotWithShape="1">
              <a:gsLst>
                <a:gs pos="0">
                  <a:schemeClr val="accent1">
                    <a:tint val="65000"/>
                    <a:tint val="50000"/>
                    <a:satMod val="300000"/>
                  </a:schemeClr>
                </a:gs>
                <a:gs pos="35000">
                  <a:schemeClr val="accent1">
                    <a:tint val="65000"/>
                    <a:tint val="37000"/>
                    <a:satMod val="300000"/>
                  </a:schemeClr>
                </a:gs>
                <a:gs pos="100000">
                  <a:schemeClr val="accent1">
                    <a:tint val="65000"/>
                    <a:tint val="15000"/>
                    <a:satMod val="350000"/>
                  </a:schemeClr>
                </a:gs>
              </a:gsLst>
              <a:lin ang="16200000" scaled="1"/>
            </a:gradFill>
            <a:ln w="9525" cap="flat" cmpd="sng" algn="ctr">
              <a:solidFill>
                <a:schemeClr val="accent1">
                  <a:tint val="65000"/>
                  <a:shade val="95000"/>
                </a:schemeClr>
              </a:solidFill>
              <a:round/>
            </a:ln>
            <a:effectLst>
              <a:outerShdw blurRad="40000" dist="20000" dir="5400000" rotWithShape="0">
                <a:srgbClr val="000000">
                  <a:alpha val="38000"/>
                </a:srgbClr>
              </a:outerShdw>
            </a:effectLst>
          </c:spPr>
          <c:invertIfNegative val="0"/>
          <c:cat>
            <c:strRef>
              <c:extLst>
                <c:ext xmlns:c15="http://schemas.microsoft.com/office/drawing/2012/chart" uri="{02D57815-91ED-43cb-92C2-25804820EDAC}">
                  <c15:fullRef>
                    <c15:sqref>'GPI Summary Per Capita'!$D$2:$BB$3</c15:sqref>
                  </c15:fullRef>
                  <c15:levelRef>
                    <c15:sqref>'GPI Summary Per Capita'!$D$2:$BB$2</c15:sqref>
                  </c15:levelRef>
                </c:ext>
              </c:extLst>
              <c:f>'GPI Summary Per Capita'!$D$2:$BB$2</c:f>
              <c:strCache>
                <c:ptCount val="51"/>
                <c:pt idx="0">
                  <c:v>United States</c:v>
                </c:pt>
                <c:pt idx="1">
                  <c:v>.Alabama</c:v>
                </c:pt>
                <c:pt idx="2">
                  <c:v>.Alaska</c:v>
                </c:pt>
                <c:pt idx="3">
                  <c:v>.Arizona</c:v>
                </c:pt>
                <c:pt idx="4">
                  <c:v>.Arkansas</c:v>
                </c:pt>
                <c:pt idx="5">
                  <c:v>.California</c:v>
                </c:pt>
                <c:pt idx="6">
                  <c:v>.Colorado</c:v>
                </c:pt>
                <c:pt idx="7">
                  <c:v>.Connecticut</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c:v>
                </c:pt>
                <c:pt idx="48">
                  <c:v>.West Virginia</c:v>
                </c:pt>
                <c:pt idx="49">
                  <c:v>.Wisconsin</c:v>
                </c:pt>
                <c:pt idx="50">
                  <c:v>.Wyoming</c:v>
                </c:pt>
              </c:strCache>
            </c:strRef>
          </c:cat>
          <c:val>
            <c:numRef>
              <c:f>'GPI Summary Per Capita'!$D$6:$BB$6</c:f>
              <c:numCache>
                <c:formatCode>_(* #,##0_);_(* \(#,##0\);_(* "-"??_);_(@_)</c:formatCode>
                <c:ptCount val="51"/>
                <c:pt idx="0">
                  <c:v>17295.30750444452</c:v>
                </c:pt>
                <c:pt idx="1">
                  <c:v>-943.0363045750418</c:v>
                </c:pt>
                <c:pt idx="2">
                  <c:v>65314.56826580939</c:v>
                </c:pt>
                <c:pt idx="3">
                  <c:v>17062.44752747554</c:v>
                </c:pt>
                <c:pt idx="4">
                  <c:v>779.4014052036327</c:v>
                </c:pt>
                <c:pt idx="5">
                  <c:v>24425.08704185953</c:v>
                </c:pt>
                <c:pt idx="6">
                  <c:v>21471.97376373771</c:v>
                </c:pt>
                <c:pt idx="7">
                  <c:v>29910.37000154486</c:v>
                </c:pt>
                <c:pt idx="8">
                  <c:v>22307.60807974743</c:v>
                </c:pt>
                <c:pt idx="9">
                  <c:v>19771.02729306125</c:v>
                </c:pt>
                <c:pt idx="10">
                  <c:v>12139.02127080357</c:v>
                </c:pt>
                <c:pt idx="11">
                  <c:v>29791.26672115988</c:v>
                </c:pt>
                <c:pt idx="12">
                  <c:v>19355.29709803185</c:v>
                </c:pt>
                <c:pt idx="13">
                  <c:v>17944.07007821103</c:v>
                </c:pt>
                <c:pt idx="14">
                  <c:v>7237.927572445242</c:v>
                </c:pt>
                <c:pt idx="15">
                  <c:v>10816.59377242841</c:v>
                </c:pt>
                <c:pt idx="16">
                  <c:v>12101.63055504982</c:v>
                </c:pt>
                <c:pt idx="17">
                  <c:v>2103.721499847799</c:v>
                </c:pt>
                <c:pt idx="18">
                  <c:v>-9592.83266910366</c:v>
                </c:pt>
                <c:pt idx="19">
                  <c:v>21379.6611127101</c:v>
                </c:pt>
                <c:pt idx="20">
                  <c:v>27436.13527259391</c:v>
                </c:pt>
                <c:pt idx="21">
                  <c:v>35029.81442799467</c:v>
                </c:pt>
                <c:pt idx="22">
                  <c:v>16453.38541349152</c:v>
                </c:pt>
                <c:pt idx="23">
                  <c:v>22039.77783969089</c:v>
                </c:pt>
                <c:pt idx="24">
                  <c:v>332.5015092995818</c:v>
                </c:pt>
                <c:pt idx="25">
                  <c:v>12749.02732931547</c:v>
                </c:pt>
                <c:pt idx="26">
                  <c:v>13918.09272181373</c:v>
                </c:pt>
                <c:pt idx="27">
                  <c:v>13215.98262465353</c:v>
                </c:pt>
                <c:pt idx="28">
                  <c:v>24732.60414956688</c:v>
                </c:pt>
                <c:pt idx="29">
                  <c:v>27236.78882140787</c:v>
                </c:pt>
                <c:pt idx="30">
                  <c:v>26897.72314899507</c:v>
                </c:pt>
                <c:pt idx="31">
                  <c:v>9174.85274167208</c:v>
                </c:pt>
                <c:pt idx="32">
                  <c:v>28844.60452455731</c:v>
                </c:pt>
                <c:pt idx="33">
                  <c:v>13090.95470989326</c:v>
                </c:pt>
                <c:pt idx="34">
                  <c:v>-7620.336890094082</c:v>
                </c:pt>
                <c:pt idx="35">
                  <c:v>14717.3344609347</c:v>
                </c:pt>
                <c:pt idx="36">
                  <c:v>5974.69128732121</c:v>
                </c:pt>
                <c:pt idx="37">
                  <c:v>24928.21337153894</c:v>
                </c:pt>
                <c:pt idx="38">
                  <c:v>16417.96149501171</c:v>
                </c:pt>
                <c:pt idx="39">
                  <c:v>27032.81255377332</c:v>
                </c:pt>
                <c:pt idx="40">
                  <c:v>7121.843706450365</c:v>
                </c:pt>
                <c:pt idx="41">
                  <c:v>22764.3253068584</c:v>
                </c:pt>
                <c:pt idx="42">
                  <c:v>11457.03813086046</c:v>
                </c:pt>
                <c:pt idx="43">
                  <c:v>6161.741767624291</c:v>
                </c:pt>
                <c:pt idx="44">
                  <c:v>16872.47981411903</c:v>
                </c:pt>
                <c:pt idx="45">
                  <c:v>25480.57341441363</c:v>
                </c:pt>
                <c:pt idx="46">
                  <c:v>22409.29881087257</c:v>
                </c:pt>
                <c:pt idx="47">
                  <c:v>29157.71726702251</c:v>
                </c:pt>
                <c:pt idx="48">
                  <c:v>-4924.261838614085</c:v>
                </c:pt>
                <c:pt idx="49">
                  <c:v>17056.77093440017</c:v>
                </c:pt>
                <c:pt idx="50">
                  <c:v>-31902.8969366142</c:v>
                </c:pt>
              </c:numCache>
            </c:numRef>
          </c:val>
        </c:ser>
        <c:dLbls>
          <c:showLegendKey val="0"/>
          <c:showVal val="0"/>
          <c:showCatName val="0"/>
          <c:showSerName val="0"/>
          <c:showPercent val="0"/>
          <c:showBubbleSize val="0"/>
        </c:dLbls>
        <c:gapWidth val="0"/>
        <c:axId val="-871160864"/>
        <c:axId val="-871158544"/>
        <c:extLst>
          <c:ext xmlns:c15="http://schemas.microsoft.com/office/drawing/2012/chart" uri="{02D57815-91ED-43cb-92C2-25804820EDAC}">
            <c15:filteredBarSeries>
              <c15:ser>
                <c:idx val="0"/>
                <c:order val="0"/>
                <c:tx>
                  <c:strRef>
                    <c:extLst>
                      <c:ext uri="{02D57815-91ED-43cb-92C2-25804820EDAC}">
                        <c15:formulaRef>
                          <c15:sqref>'GPI Summary Per Capita'!$B$4:$C$4</c15:sqref>
                        </c15:formulaRef>
                      </c:ext>
                    </c:extLst>
                    <c:strCache>
                      <c:ptCount val="2"/>
                    </c:strCache>
                  </c:strRef>
                </c:tx>
                <c:spPr>
                  <a:gradFill rotWithShape="1">
                    <a:gsLst>
                      <a:gs pos="0">
                        <a:schemeClr val="accent1">
                          <a:shade val="65000"/>
                          <a:tint val="50000"/>
                          <a:satMod val="300000"/>
                        </a:schemeClr>
                      </a:gs>
                      <a:gs pos="35000">
                        <a:schemeClr val="accent1">
                          <a:shade val="65000"/>
                          <a:tint val="37000"/>
                          <a:satMod val="300000"/>
                        </a:schemeClr>
                      </a:gs>
                      <a:gs pos="100000">
                        <a:schemeClr val="accent1">
                          <a:shade val="65000"/>
                          <a:tint val="15000"/>
                          <a:satMod val="350000"/>
                        </a:schemeClr>
                      </a:gs>
                    </a:gsLst>
                    <a:lin ang="16200000" scaled="1"/>
                  </a:gradFill>
                  <a:ln w="9525" cap="flat" cmpd="sng" algn="ctr">
                    <a:solidFill>
                      <a:schemeClr val="accent1">
                        <a:shade val="65000"/>
                        <a:shade val="95000"/>
                      </a:schemeClr>
                    </a:solidFill>
                    <a:round/>
                  </a:ln>
                  <a:effectLst>
                    <a:outerShdw blurRad="40000" dist="20000" dir="5400000" rotWithShape="0">
                      <a:srgbClr val="000000">
                        <a:alpha val="38000"/>
                      </a:srgbClr>
                    </a:outerShdw>
                  </a:effectLst>
                </c:spPr>
                <c:invertIfNegative val="0"/>
                <c:cat>
                  <c:strRef>
                    <c:extLst>
                      <c:ext uri="{02D57815-91ED-43cb-92C2-25804820EDAC}">
                        <c15:fullRef>
                          <c15:sqref>'GPI Summary Per Capita'!$D$2:$BB$3</c15:sqref>
                        </c15:fullRef>
                        <c15:levelRef>
                          <c15:sqref>'GPI Summary Per Capita'!$D$2:$BB$2</c15:sqref>
                        </c15:levelRef>
                        <c15:formulaRef>
                          <c15:sqref>'GPI Summary Per Capita'!$D$2:$BB$2</c15:sqref>
                        </c15:formulaRef>
                      </c:ext>
                    </c:extLst>
                    <c:strCache>
                      <c:ptCount val="51"/>
                      <c:pt idx="0">
                        <c:v>United States</c:v>
                      </c:pt>
                      <c:pt idx="1">
                        <c:v>.Alabama</c:v>
                      </c:pt>
                      <c:pt idx="2">
                        <c:v>.Alaska</c:v>
                      </c:pt>
                      <c:pt idx="3">
                        <c:v>.Arizona</c:v>
                      </c:pt>
                      <c:pt idx="4">
                        <c:v>.Arkansas</c:v>
                      </c:pt>
                      <c:pt idx="5">
                        <c:v>.California</c:v>
                      </c:pt>
                      <c:pt idx="6">
                        <c:v>.Colorado</c:v>
                      </c:pt>
                      <c:pt idx="7">
                        <c:v>.Connecticut</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c:v>
                      </c:pt>
                      <c:pt idx="48">
                        <c:v>.West Virginia</c:v>
                      </c:pt>
                      <c:pt idx="49">
                        <c:v>.Wisconsin</c:v>
                      </c:pt>
                      <c:pt idx="50">
                        <c:v>.Wyoming</c:v>
                      </c:pt>
                    </c:strCache>
                  </c:strRef>
                </c:cat>
                <c:val>
                  <c:numRef>
                    <c:extLst>
                      <c:ext uri="{02D57815-91ED-43cb-92C2-25804820EDAC}">
                        <c15:formulaRef>
                          <c15:sqref>'GPI Summary Per Capita'!$D$4:$BB$4</c15:sqref>
                        </c15:formulaRef>
                      </c:ext>
                    </c:extLst>
                    <c:numCache>
                      <c:formatCode>General</c:formatCode>
                      <c:ptCount val="51"/>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'GPI Summary Per Capita'!$B$5:$C$5</c15:sqref>
                        </c15:formulaRef>
                      </c:ext>
                    </c:extLst>
                    <c:strCache>
                      <c:ptCount val="2"/>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cat>
                  <c:strRef>
                    <c:extLst>
                      <c:ext xmlns:c15="http://schemas.microsoft.com/office/drawing/2012/chart" uri="{02D57815-91ED-43cb-92C2-25804820EDAC}">
                        <c15:fullRef>
                          <c15:sqref>'GPI Summary Per Capita'!$D$2:$BB$3</c15:sqref>
                        </c15:fullRef>
                        <c15:levelRef>
                          <c15:sqref>'GPI Summary Per Capita'!$D$2:$BB$2</c15:sqref>
                        </c15:levelRef>
                        <c15:formulaRef>
                          <c15:sqref>'GPI Summary Per Capita'!$D$2:$BB$2</c15:sqref>
                        </c15:formulaRef>
                      </c:ext>
                    </c:extLst>
                    <c:strCache>
                      <c:ptCount val="51"/>
                      <c:pt idx="0">
                        <c:v>United States</c:v>
                      </c:pt>
                      <c:pt idx="1">
                        <c:v>.Alabama</c:v>
                      </c:pt>
                      <c:pt idx="2">
                        <c:v>.Alaska</c:v>
                      </c:pt>
                      <c:pt idx="3">
                        <c:v>.Arizona</c:v>
                      </c:pt>
                      <c:pt idx="4">
                        <c:v>.Arkansas</c:v>
                      </c:pt>
                      <c:pt idx="5">
                        <c:v>.California</c:v>
                      </c:pt>
                      <c:pt idx="6">
                        <c:v>.Colorado</c:v>
                      </c:pt>
                      <c:pt idx="7">
                        <c:v>.Connecticut</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c:v>
                      </c:pt>
                      <c:pt idx="48">
                        <c:v>.West Virginia</c:v>
                      </c:pt>
                      <c:pt idx="49">
                        <c:v>.Wisconsin</c:v>
                      </c:pt>
                      <c:pt idx="50">
                        <c:v>.Wyoming</c:v>
                      </c:pt>
                    </c:strCache>
                  </c:strRef>
                </c:cat>
                <c:val>
                  <c:numRef>
                    <c:extLst xmlns:c15="http://schemas.microsoft.com/office/drawing/2012/chart">
                      <c:ext xmlns:c15="http://schemas.microsoft.com/office/drawing/2012/chart" uri="{02D57815-91ED-43cb-92C2-25804820EDAC}">
                        <c15:formulaRef>
                          <c15:sqref>'GPI Summary Per Capita'!$D$5:$BB$5</c15:sqref>
                        </c15:formulaRef>
                      </c:ext>
                    </c:extLst>
                    <c:numCache>
                      <c:formatCode>General</c:formatCode>
                      <c:ptCount val="51"/>
                    </c:numCache>
                  </c:numRef>
                </c:val>
              </c15:ser>
            </c15:filteredBarSeries>
          </c:ext>
        </c:extLst>
      </c:barChart>
      <c:catAx>
        <c:axId val="-87116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50000"/>
                    <a:lumOff val="50000"/>
                  </a:schemeClr>
                </a:solidFill>
                <a:latin typeface="+mn-lt"/>
                <a:ea typeface="+mn-ea"/>
                <a:cs typeface="+mn-cs"/>
              </a:defRPr>
            </a:pPr>
            <a:endParaRPr lang="en-US"/>
          </a:p>
        </c:txPr>
        <c:crossAx val="-871158544"/>
        <c:crosses val="autoZero"/>
        <c:auto val="1"/>
        <c:lblAlgn val="ctr"/>
        <c:lblOffset val="100"/>
        <c:noMultiLvlLbl val="0"/>
      </c:catAx>
      <c:valAx>
        <c:axId val="-871158544"/>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GPI Per Capita</a:t>
                </a:r>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71160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States'</a:t>
            </a:r>
            <a:r>
              <a:rPr lang="en-US" baseline="0"/>
              <a:t> 2011 </a:t>
            </a:r>
            <a:r>
              <a:rPr lang="en-US"/>
              <a:t>Genuine Progress Indicators  </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2"/>
          <c:order val="2"/>
          <c:tx>
            <c:strRef>
              <c:f>'GPI Per Capita Graphs'!$B$6:$C$6</c:f>
              <c:strCache>
                <c:ptCount val="2"/>
                <c:pt idx="0">
                  <c:v>Genuine Progress Indicator</c:v>
                </c:pt>
                <c:pt idx="1">
                  <c:v> $2011 per capita</c:v>
                </c:pt>
              </c:strCache>
            </c:strRef>
          </c:tx>
          <c:spPr>
            <a:gradFill rotWithShape="1">
              <a:gsLst>
                <a:gs pos="0">
                  <a:schemeClr val="accent1">
                    <a:tint val="65000"/>
                    <a:tint val="50000"/>
                    <a:satMod val="300000"/>
                  </a:schemeClr>
                </a:gs>
                <a:gs pos="35000">
                  <a:schemeClr val="accent1">
                    <a:tint val="65000"/>
                    <a:tint val="37000"/>
                    <a:satMod val="300000"/>
                  </a:schemeClr>
                </a:gs>
                <a:gs pos="100000">
                  <a:schemeClr val="accent1">
                    <a:tint val="65000"/>
                    <a:tint val="15000"/>
                    <a:satMod val="350000"/>
                  </a:schemeClr>
                </a:gs>
              </a:gsLst>
              <a:lin ang="16200000" scaled="1"/>
            </a:gradFill>
            <a:ln w="9525" cap="flat" cmpd="sng" algn="ctr">
              <a:solidFill>
                <a:schemeClr val="accent1">
                  <a:tint val="65000"/>
                  <a:shade val="95000"/>
                </a:schemeClr>
              </a:solidFill>
              <a:round/>
            </a:ln>
            <a:effectLst>
              <a:outerShdw blurRad="40000" dist="20000" dir="5400000" rotWithShape="0">
                <a:srgbClr val="000000">
                  <a:alpha val="38000"/>
                </a:srgbClr>
              </a:outerShdw>
            </a:effectLst>
          </c:spPr>
          <c:invertIfNegative val="0"/>
          <c:cat>
            <c:strRef>
              <c:extLst>
                <c:ext xmlns:c15="http://schemas.microsoft.com/office/drawing/2012/chart" uri="{02D57815-91ED-43cb-92C2-25804820EDAC}">
                  <c15:fullRef>
                    <c15:sqref>'GPI Per Capita Graphs'!$D$2:$BB$3</c15:sqref>
                  </c15:fullRef>
                  <c15:levelRef>
                    <c15:sqref>'GPI Per Capita Graphs'!$D$2:$BB$2</c15:sqref>
                  </c15:levelRef>
                </c:ext>
              </c:extLst>
              <c:f>'GPI Per Capita Graphs'!$D$2:$BB$2</c:f>
              <c:strCache>
                <c:ptCount val="51"/>
                <c:pt idx="0">
                  <c:v>United States</c:v>
                </c:pt>
                <c:pt idx="1">
                  <c:v>.Alabama</c:v>
                </c:pt>
                <c:pt idx="2">
                  <c:v>.Alaska</c:v>
                </c:pt>
                <c:pt idx="3">
                  <c:v>.Arizona</c:v>
                </c:pt>
                <c:pt idx="4">
                  <c:v>.Arkansas</c:v>
                </c:pt>
                <c:pt idx="5">
                  <c:v>.California</c:v>
                </c:pt>
                <c:pt idx="6">
                  <c:v>.Colorado</c:v>
                </c:pt>
                <c:pt idx="7">
                  <c:v>.Connecticut</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c:v>
                </c:pt>
                <c:pt idx="48">
                  <c:v>.West Virginia</c:v>
                </c:pt>
                <c:pt idx="49">
                  <c:v>.Wisconsin</c:v>
                </c:pt>
                <c:pt idx="50">
                  <c:v>.Wyoming</c:v>
                </c:pt>
              </c:strCache>
            </c:strRef>
          </c:cat>
          <c:val>
            <c:numRef>
              <c:f>'GPI Per Capita Graphs'!$D$6:$BB$6</c:f>
              <c:numCache>
                <c:formatCode>_(* #,##0_);_(* \(#,##0\);_(* "-"??_);_(@_)</c:formatCode>
                <c:ptCount val="51"/>
                <c:pt idx="0">
                  <c:v>17295.30750444452</c:v>
                </c:pt>
                <c:pt idx="1">
                  <c:v>-943.0363045750418</c:v>
                </c:pt>
                <c:pt idx="2">
                  <c:v>65314.56826580939</c:v>
                </c:pt>
                <c:pt idx="3">
                  <c:v>17062.44752747554</c:v>
                </c:pt>
                <c:pt idx="4">
                  <c:v>779.4014052036327</c:v>
                </c:pt>
                <c:pt idx="5">
                  <c:v>24425.08704185953</c:v>
                </c:pt>
                <c:pt idx="6">
                  <c:v>21471.97376373771</c:v>
                </c:pt>
                <c:pt idx="7">
                  <c:v>29910.37000154486</c:v>
                </c:pt>
                <c:pt idx="8">
                  <c:v>22307.60807974743</c:v>
                </c:pt>
                <c:pt idx="9">
                  <c:v>19771.02729306125</c:v>
                </c:pt>
                <c:pt idx="10">
                  <c:v>12139.02127080357</c:v>
                </c:pt>
                <c:pt idx="11">
                  <c:v>29791.26672115988</c:v>
                </c:pt>
                <c:pt idx="12">
                  <c:v>19355.29709803185</c:v>
                </c:pt>
                <c:pt idx="13">
                  <c:v>17944.07007821103</c:v>
                </c:pt>
                <c:pt idx="14">
                  <c:v>7237.927572445242</c:v>
                </c:pt>
                <c:pt idx="15">
                  <c:v>10816.59377242841</c:v>
                </c:pt>
                <c:pt idx="16">
                  <c:v>12101.63055504982</c:v>
                </c:pt>
                <c:pt idx="17">
                  <c:v>2103.721499847799</c:v>
                </c:pt>
                <c:pt idx="18">
                  <c:v>-9592.83266910366</c:v>
                </c:pt>
                <c:pt idx="19">
                  <c:v>21379.6611127101</c:v>
                </c:pt>
                <c:pt idx="20">
                  <c:v>27436.13527259391</c:v>
                </c:pt>
                <c:pt idx="21">
                  <c:v>35029.81442799467</c:v>
                </c:pt>
                <c:pt idx="22">
                  <c:v>16453.38541349152</c:v>
                </c:pt>
                <c:pt idx="23">
                  <c:v>22039.77783969089</c:v>
                </c:pt>
                <c:pt idx="24">
                  <c:v>332.5015092995818</c:v>
                </c:pt>
                <c:pt idx="25">
                  <c:v>12749.02732931547</c:v>
                </c:pt>
                <c:pt idx="26">
                  <c:v>13918.09272181373</c:v>
                </c:pt>
                <c:pt idx="27">
                  <c:v>13215.98262465353</c:v>
                </c:pt>
                <c:pt idx="28">
                  <c:v>24732.60414956688</c:v>
                </c:pt>
                <c:pt idx="29">
                  <c:v>27236.78882140787</c:v>
                </c:pt>
                <c:pt idx="30">
                  <c:v>26897.72314899507</c:v>
                </c:pt>
                <c:pt idx="31">
                  <c:v>9174.85274167208</c:v>
                </c:pt>
                <c:pt idx="32">
                  <c:v>28844.60452455731</c:v>
                </c:pt>
                <c:pt idx="33">
                  <c:v>13090.95470989326</c:v>
                </c:pt>
                <c:pt idx="34">
                  <c:v>-7620.336890094082</c:v>
                </c:pt>
                <c:pt idx="35">
                  <c:v>14717.3344609347</c:v>
                </c:pt>
                <c:pt idx="36">
                  <c:v>5974.69128732121</c:v>
                </c:pt>
                <c:pt idx="37">
                  <c:v>24928.21337153894</c:v>
                </c:pt>
                <c:pt idx="38">
                  <c:v>16417.96149501171</c:v>
                </c:pt>
                <c:pt idx="39">
                  <c:v>27032.81255377332</c:v>
                </c:pt>
                <c:pt idx="40">
                  <c:v>7121.843706450365</c:v>
                </c:pt>
                <c:pt idx="41">
                  <c:v>22764.3253068584</c:v>
                </c:pt>
                <c:pt idx="42">
                  <c:v>11457.03813086046</c:v>
                </c:pt>
                <c:pt idx="43">
                  <c:v>6161.741767624291</c:v>
                </c:pt>
                <c:pt idx="44">
                  <c:v>16872.47981411903</c:v>
                </c:pt>
                <c:pt idx="45">
                  <c:v>25480.57341441363</c:v>
                </c:pt>
                <c:pt idx="46">
                  <c:v>22409.29881087257</c:v>
                </c:pt>
                <c:pt idx="47">
                  <c:v>29157.71726702251</c:v>
                </c:pt>
                <c:pt idx="48">
                  <c:v>-4924.261838614085</c:v>
                </c:pt>
                <c:pt idx="49">
                  <c:v>17056.77093440017</c:v>
                </c:pt>
                <c:pt idx="50">
                  <c:v>-31902.8969366142</c:v>
                </c:pt>
              </c:numCache>
            </c:numRef>
          </c:val>
        </c:ser>
        <c:dLbls>
          <c:showLegendKey val="0"/>
          <c:showVal val="0"/>
          <c:showCatName val="0"/>
          <c:showSerName val="0"/>
          <c:showPercent val="0"/>
          <c:showBubbleSize val="0"/>
        </c:dLbls>
        <c:gapWidth val="0"/>
        <c:axId val="-871131936"/>
        <c:axId val="-871129184"/>
        <c:extLst>
          <c:ext xmlns:c15="http://schemas.microsoft.com/office/drawing/2012/chart" uri="{02D57815-91ED-43cb-92C2-25804820EDAC}">
            <c15:filteredBarSeries>
              <c15:ser>
                <c:idx val="0"/>
                <c:order val="0"/>
                <c:tx>
                  <c:strRef>
                    <c:extLst>
                      <c:ext uri="{02D57815-91ED-43cb-92C2-25804820EDAC}">
                        <c15:formulaRef>
                          <c15:sqref>'GPI Per Capita Graphs'!$B$4:$C$4</c15:sqref>
                        </c15:formulaRef>
                      </c:ext>
                    </c:extLst>
                    <c:strCache>
                      <c:ptCount val="2"/>
                    </c:strCache>
                  </c:strRef>
                </c:tx>
                <c:spPr>
                  <a:gradFill rotWithShape="1">
                    <a:gsLst>
                      <a:gs pos="0">
                        <a:schemeClr val="accent1">
                          <a:shade val="65000"/>
                          <a:tint val="50000"/>
                          <a:satMod val="300000"/>
                        </a:schemeClr>
                      </a:gs>
                      <a:gs pos="35000">
                        <a:schemeClr val="accent1">
                          <a:shade val="65000"/>
                          <a:tint val="37000"/>
                          <a:satMod val="300000"/>
                        </a:schemeClr>
                      </a:gs>
                      <a:gs pos="100000">
                        <a:schemeClr val="accent1">
                          <a:shade val="65000"/>
                          <a:tint val="15000"/>
                          <a:satMod val="350000"/>
                        </a:schemeClr>
                      </a:gs>
                    </a:gsLst>
                    <a:lin ang="16200000" scaled="1"/>
                  </a:gradFill>
                  <a:ln w="9525" cap="flat" cmpd="sng" algn="ctr">
                    <a:solidFill>
                      <a:schemeClr val="accent1">
                        <a:shade val="65000"/>
                        <a:shade val="95000"/>
                      </a:schemeClr>
                    </a:solidFill>
                    <a:round/>
                  </a:ln>
                  <a:effectLst>
                    <a:outerShdw blurRad="40000" dist="20000" dir="5400000" rotWithShape="0">
                      <a:srgbClr val="000000">
                        <a:alpha val="38000"/>
                      </a:srgbClr>
                    </a:outerShdw>
                  </a:effectLst>
                </c:spPr>
                <c:invertIfNegative val="0"/>
                <c:cat>
                  <c:strRef>
                    <c:extLst>
                      <c:ext uri="{02D57815-91ED-43cb-92C2-25804820EDAC}">
                        <c15:fullRef>
                          <c15:sqref>'GPI Per Capita Graphs'!$D$2:$BB$3</c15:sqref>
                        </c15:fullRef>
                        <c15:levelRef>
                          <c15:sqref>'GPI Per Capita Graphs'!$D$2:$BB$2</c15:sqref>
                        </c15:levelRef>
                        <c15:formulaRef>
                          <c15:sqref>'GPI Per Capita Graphs'!$D$2:$BB$2</c15:sqref>
                        </c15:formulaRef>
                      </c:ext>
                    </c:extLst>
                    <c:strCache>
                      <c:ptCount val="51"/>
                      <c:pt idx="0">
                        <c:v>United States</c:v>
                      </c:pt>
                      <c:pt idx="1">
                        <c:v>.Alabama</c:v>
                      </c:pt>
                      <c:pt idx="2">
                        <c:v>.Alaska</c:v>
                      </c:pt>
                      <c:pt idx="3">
                        <c:v>.Arizona</c:v>
                      </c:pt>
                      <c:pt idx="4">
                        <c:v>.Arkansas</c:v>
                      </c:pt>
                      <c:pt idx="5">
                        <c:v>.California</c:v>
                      </c:pt>
                      <c:pt idx="6">
                        <c:v>.Colorado</c:v>
                      </c:pt>
                      <c:pt idx="7">
                        <c:v>.Connecticut</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c:v>
                      </c:pt>
                      <c:pt idx="48">
                        <c:v>.West Virginia</c:v>
                      </c:pt>
                      <c:pt idx="49">
                        <c:v>.Wisconsin</c:v>
                      </c:pt>
                      <c:pt idx="50">
                        <c:v>.Wyoming</c:v>
                      </c:pt>
                    </c:strCache>
                  </c:strRef>
                </c:cat>
                <c:val>
                  <c:numRef>
                    <c:extLst>
                      <c:ext uri="{02D57815-91ED-43cb-92C2-25804820EDAC}">
                        <c15:formulaRef>
                          <c15:sqref>'GPI Per Capita Graphs'!$D$4:$BB$4</c15:sqref>
                        </c15:formulaRef>
                      </c:ext>
                    </c:extLst>
                    <c:numCache>
                      <c:formatCode>General</c:formatCode>
                      <c:ptCount val="51"/>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'GPI Per Capita Graphs'!$B$5:$C$5</c15:sqref>
                        </c15:formulaRef>
                      </c:ext>
                    </c:extLst>
                    <c:strCache>
                      <c:ptCount val="2"/>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cat>
                  <c:strRef>
                    <c:extLst>
                      <c:ext xmlns:c15="http://schemas.microsoft.com/office/drawing/2012/chart" uri="{02D57815-91ED-43cb-92C2-25804820EDAC}">
                        <c15:fullRef>
                          <c15:sqref>'GPI Per Capita Graphs'!$D$2:$BB$3</c15:sqref>
                        </c15:fullRef>
                        <c15:levelRef>
                          <c15:sqref>'GPI Per Capita Graphs'!$D$2:$BB$2</c15:sqref>
                        </c15:levelRef>
                        <c15:formulaRef>
                          <c15:sqref>'GPI Per Capita Graphs'!$D$2:$BB$2</c15:sqref>
                        </c15:formulaRef>
                      </c:ext>
                    </c:extLst>
                    <c:strCache>
                      <c:ptCount val="51"/>
                      <c:pt idx="0">
                        <c:v>United States</c:v>
                      </c:pt>
                      <c:pt idx="1">
                        <c:v>.Alabama</c:v>
                      </c:pt>
                      <c:pt idx="2">
                        <c:v>.Alaska</c:v>
                      </c:pt>
                      <c:pt idx="3">
                        <c:v>.Arizona</c:v>
                      </c:pt>
                      <c:pt idx="4">
                        <c:v>.Arkansas</c:v>
                      </c:pt>
                      <c:pt idx="5">
                        <c:v>.California</c:v>
                      </c:pt>
                      <c:pt idx="6">
                        <c:v>.Colorado</c:v>
                      </c:pt>
                      <c:pt idx="7">
                        <c:v>.Connecticut</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c:v>
                      </c:pt>
                      <c:pt idx="48">
                        <c:v>.West Virginia</c:v>
                      </c:pt>
                      <c:pt idx="49">
                        <c:v>.Wisconsin</c:v>
                      </c:pt>
                      <c:pt idx="50">
                        <c:v>.Wyoming</c:v>
                      </c:pt>
                    </c:strCache>
                  </c:strRef>
                </c:cat>
                <c:val>
                  <c:numRef>
                    <c:extLst xmlns:c15="http://schemas.microsoft.com/office/drawing/2012/chart">
                      <c:ext xmlns:c15="http://schemas.microsoft.com/office/drawing/2012/chart" uri="{02D57815-91ED-43cb-92C2-25804820EDAC}">
                        <c15:formulaRef>
                          <c15:sqref>'GPI Per Capita Graphs'!$D$5:$BB$5</c15:sqref>
                        </c15:formulaRef>
                      </c:ext>
                    </c:extLst>
                    <c:numCache>
                      <c:formatCode>General</c:formatCode>
                      <c:ptCount val="51"/>
                    </c:numCache>
                  </c:numRef>
                </c:val>
              </c15:ser>
            </c15:filteredBarSeries>
          </c:ext>
        </c:extLst>
      </c:barChart>
      <c:catAx>
        <c:axId val="-8711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50000"/>
                    <a:lumOff val="50000"/>
                  </a:schemeClr>
                </a:solidFill>
                <a:latin typeface="+mn-lt"/>
                <a:ea typeface="+mn-ea"/>
                <a:cs typeface="+mn-cs"/>
              </a:defRPr>
            </a:pPr>
            <a:endParaRPr lang="en-US"/>
          </a:p>
        </c:txPr>
        <c:crossAx val="-871129184"/>
        <c:crosses val="autoZero"/>
        <c:auto val="1"/>
        <c:lblAlgn val="ctr"/>
        <c:lblOffset val="100"/>
        <c:noMultiLvlLbl val="0"/>
      </c:catAx>
      <c:valAx>
        <c:axId val="-871129184"/>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GPI Per Capita</a:t>
                </a:r>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871131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Subindicator Relative Influence</a:t>
            </a:r>
          </a:p>
        </c:rich>
      </c:tx>
      <c:layout/>
      <c:overlay val="0"/>
      <c:spPr>
        <a:noFill/>
        <a:ln w="25400">
          <a:noFill/>
        </a:ln>
      </c:spPr>
    </c:title>
    <c:autoTitleDeleted val="0"/>
    <c:plotArea>
      <c:layout>
        <c:manualLayout>
          <c:layoutTarget val="inner"/>
          <c:xMode val="edge"/>
          <c:yMode val="edge"/>
          <c:x val="0.0507364975450082"/>
          <c:y val="0.108312475785771"/>
          <c:w val="0.556464811783961"/>
          <c:h val="0.856424227143305"/>
        </c:manualLayout>
      </c:layout>
      <c:pieChart>
        <c:varyColors val="1"/>
        <c:ser>
          <c:idx val="0"/>
          <c:order val="0"/>
          <c:spPr>
            <a:solidFill>
              <a:srgbClr val="4F81BD"/>
            </a:solidFill>
            <a:ln w="25400">
              <a:noFill/>
            </a:ln>
          </c:spPr>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3">
                  <a:lumMod val="60000"/>
                </a:schemeClr>
              </a:solidFill>
              <a:ln>
                <a:noFill/>
              </a:ln>
              <a:effectLst>
                <a:outerShdw blurRad="254000" sx="102000" sy="102000" algn="ctr" rotWithShape="0">
                  <a:prstClr val="black">
                    <a:alpha val="20000"/>
                  </a:prstClr>
                </a:outerShdw>
              </a:effectLst>
            </c:spPr>
          </c:dPt>
          <c:dPt>
            <c:idx val="2"/>
            <c:bubble3D val="0"/>
            <c:spPr>
              <a:solidFill>
                <a:schemeClr val="accent2"/>
              </a:solidFill>
              <a:ln>
                <a:noFill/>
              </a:ln>
              <a:effectLst>
                <a:outerShdw blurRad="254000" sx="102000" sy="102000" algn="ctr" rotWithShape="0">
                  <a:prstClr val="black">
                    <a:alpha val="20000"/>
                  </a:prstClr>
                </a:outerShdw>
              </a:effectLst>
            </c:spPr>
          </c:dPt>
          <c:dPt>
            <c:idx val="3"/>
            <c:bubble3D val="0"/>
            <c:spPr>
              <a:solidFill>
                <a:schemeClr val="accent5">
                  <a:lumMod val="80000"/>
                  <a:lumOff val="20000"/>
                </a:schemeClr>
              </a:solidFill>
              <a:ln>
                <a:noFill/>
              </a:ln>
              <a:effectLst>
                <a:outerShdw blurRad="254000" sx="102000" sy="102000" algn="ctr" rotWithShape="0">
                  <a:prstClr val="black">
                    <a:alpha val="20000"/>
                  </a:prstClr>
                </a:outerShdw>
              </a:effectLst>
            </c:spPr>
          </c:dPt>
          <c:dPt>
            <c:idx val="4"/>
            <c:bubble3D val="0"/>
            <c:spPr>
              <a:solidFill>
                <a:schemeClr val="accent3"/>
              </a:solidFill>
              <a:ln>
                <a:noFill/>
              </a:ln>
              <a:effectLst>
                <a:outerShdw blurRad="254000" sx="102000" sy="102000" algn="ctr" rotWithShape="0">
                  <a:prstClr val="black">
                    <a:alpha val="20000"/>
                  </a:prstClr>
                </a:outerShdw>
              </a:effectLst>
            </c:spPr>
          </c:dPt>
          <c:dPt>
            <c:idx val="5"/>
            <c:bubble3D val="0"/>
            <c:spPr>
              <a:solidFill>
                <a:schemeClr val="accent6">
                  <a:lumMod val="80000"/>
                  <a:lumOff val="20000"/>
                </a:schemeClr>
              </a:solidFill>
              <a:ln>
                <a:noFill/>
              </a:ln>
              <a:effectLst>
                <a:outerShdw blurRad="254000" sx="102000" sy="102000" algn="ctr" rotWithShape="0">
                  <a:prstClr val="black">
                    <a:alpha val="20000"/>
                  </a:prstClr>
                </a:outerShdw>
              </a:effectLst>
            </c:spPr>
          </c:dPt>
          <c:dPt>
            <c:idx val="6"/>
            <c:bubble3D val="0"/>
            <c:spPr>
              <a:solidFill>
                <a:schemeClr val="accent1">
                  <a:lumMod val="80000"/>
                </a:schemeClr>
              </a:solidFill>
              <a:ln>
                <a:noFill/>
              </a:ln>
              <a:effectLst>
                <a:outerShdw blurRad="254000" sx="102000" sy="102000" algn="ctr" rotWithShape="0">
                  <a:prstClr val="black">
                    <a:alpha val="20000"/>
                  </a:prstClr>
                </a:outerShdw>
              </a:effectLst>
            </c:spPr>
          </c:dPt>
          <c:dPt>
            <c:idx val="7"/>
            <c:bubble3D val="0"/>
            <c:spPr>
              <a:solidFill>
                <a:schemeClr val="accent4"/>
              </a:solidFill>
              <a:ln>
                <a:noFill/>
              </a:ln>
              <a:effectLst>
                <a:outerShdw blurRad="254000" sx="102000" sy="102000" algn="ctr" rotWithShape="0">
                  <a:prstClr val="black">
                    <a:alpha val="20000"/>
                  </a:prstClr>
                </a:outerShdw>
              </a:effectLst>
            </c:spPr>
          </c:dPt>
          <c:dPt>
            <c:idx val="8"/>
            <c:bubble3D val="0"/>
            <c:spPr>
              <a:solidFill>
                <a:schemeClr val="accent2">
                  <a:lumMod val="60000"/>
                </a:schemeClr>
              </a:solidFill>
              <a:ln>
                <a:noFill/>
              </a:ln>
              <a:effectLst>
                <a:outerShdw blurRad="254000" sx="102000" sy="102000" algn="ctr" rotWithShape="0">
                  <a:prstClr val="black">
                    <a:alpha val="20000"/>
                  </a:prstClr>
                </a:outerShdw>
              </a:effectLst>
            </c:spPr>
          </c:dPt>
          <c:dPt>
            <c:idx val="9"/>
            <c:bubble3D val="0"/>
            <c:spPr>
              <a:solidFill>
                <a:schemeClr val="accent2">
                  <a:lumMod val="80000"/>
                </a:schemeClr>
              </a:solidFill>
              <a:ln>
                <a:noFill/>
              </a:ln>
              <a:effectLst>
                <a:outerShdw blurRad="254000" sx="102000" sy="102000" algn="ctr" rotWithShape="0">
                  <a:prstClr val="black">
                    <a:alpha val="20000"/>
                  </a:prstClr>
                </a:outerShdw>
              </a:effectLst>
            </c:spPr>
          </c:dPt>
          <c:dPt>
            <c:idx val="10"/>
            <c:bubble3D val="0"/>
            <c:spPr>
              <a:solidFill>
                <a:schemeClr val="accent5"/>
              </a:solidFill>
              <a:ln>
                <a:noFill/>
              </a:ln>
              <a:effectLst>
                <a:outerShdw blurRad="254000" sx="102000" sy="102000" algn="ctr" rotWithShape="0">
                  <a:prstClr val="black">
                    <a:alpha val="20000"/>
                  </a:prstClr>
                </a:outerShdw>
              </a:effectLst>
            </c:spPr>
          </c:dPt>
          <c:dPt>
            <c:idx val="11"/>
            <c:bubble3D val="0"/>
            <c:spPr>
              <a:solidFill>
                <a:schemeClr val="accent6"/>
              </a:solidFill>
              <a:ln>
                <a:noFill/>
              </a:ln>
              <a:effectLst>
                <a:outerShdw blurRad="254000" sx="102000" sy="102000" algn="ctr" rotWithShape="0">
                  <a:prstClr val="black">
                    <a:alpha val="20000"/>
                  </a:prstClr>
                </a:outerShdw>
              </a:effectLst>
            </c:spPr>
          </c:dPt>
          <c:dPt>
            <c:idx val="12"/>
            <c:bubble3D val="0"/>
            <c:spPr>
              <a:solidFill>
                <a:schemeClr val="accent3">
                  <a:lumMod val="80000"/>
                </a:schemeClr>
              </a:solidFill>
              <a:ln>
                <a:noFill/>
              </a:ln>
              <a:effectLst>
                <a:outerShdw blurRad="254000" sx="102000" sy="102000" algn="ctr" rotWithShape="0">
                  <a:prstClr val="black">
                    <a:alpha val="20000"/>
                  </a:prstClr>
                </a:outerShdw>
              </a:effectLst>
            </c:spPr>
          </c:dPt>
          <c:dPt>
            <c:idx val="13"/>
            <c:bubble3D val="0"/>
            <c:spPr>
              <a:solidFill>
                <a:schemeClr val="accent1">
                  <a:lumMod val="60000"/>
                </a:schemeClr>
              </a:solidFill>
              <a:ln>
                <a:noFill/>
              </a:ln>
              <a:effectLst>
                <a:outerShdw blurRad="254000" sx="102000" sy="102000" algn="ctr" rotWithShape="0">
                  <a:prstClr val="black">
                    <a:alpha val="20000"/>
                  </a:prstClr>
                </a:outerShdw>
              </a:effectLst>
            </c:spPr>
          </c:dPt>
          <c:dPt>
            <c:idx val="14"/>
            <c:bubble3D val="0"/>
            <c:spPr>
              <a:solidFill>
                <a:schemeClr val="accent4">
                  <a:lumMod val="60000"/>
                </a:schemeClr>
              </a:solidFill>
              <a:ln>
                <a:noFill/>
              </a:ln>
              <a:effectLst>
                <a:outerShdw blurRad="254000" sx="102000" sy="102000" algn="ctr" rotWithShape="0">
                  <a:prstClr val="black">
                    <a:alpha val="20000"/>
                  </a:prstClr>
                </a:outerShdw>
              </a:effectLst>
            </c:spPr>
          </c:dPt>
          <c:dPt>
            <c:idx val="15"/>
            <c:bubble3D val="0"/>
            <c:spPr>
              <a:solidFill>
                <a:schemeClr val="accent4">
                  <a:lumMod val="80000"/>
                </a:schemeClr>
              </a:solidFill>
              <a:ln>
                <a:noFill/>
              </a:ln>
              <a:effectLst>
                <a:outerShdw blurRad="254000" sx="102000" sy="102000" algn="ctr" rotWithShape="0">
                  <a:prstClr val="black">
                    <a:alpha val="20000"/>
                  </a:prstClr>
                </a:outerShdw>
              </a:effectLst>
            </c:spPr>
          </c:dPt>
          <c:dPt>
            <c:idx val="16"/>
            <c:bubble3D val="0"/>
            <c:spPr>
              <a:solidFill>
                <a:schemeClr val="accent5">
                  <a:lumMod val="80000"/>
                </a:schemeClr>
              </a:solidFill>
              <a:ln>
                <a:noFill/>
              </a:ln>
              <a:effectLst>
                <a:outerShdw blurRad="254000" sx="102000" sy="102000" algn="ctr" rotWithShape="0">
                  <a:prstClr val="black">
                    <a:alpha val="20000"/>
                  </a:prstClr>
                </a:outerShdw>
              </a:effectLst>
            </c:spPr>
          </c:dPt>
          <c:dPt>
            <c:idx val="17"/>
            <c:bubble3D val="0"/>
            <c:spPr>
              <a:solidFill>
                <a:schemeClr val="accent6">
                  <a:lumMod val="80000"/>
                </a:schemeClr>
              </a:solidFill>
              <a:ln>
                <a:noFill/>
              </a:ln>
              <a:effectLst>
                <a:outerShdw blurRad="254000" sx="102000" sy="102000" algn="ctr" rotWithShape="0">
                  <a:prstClr val="black">
                    <a:alpha val="20000"/>
                  </a:prstClr>
                </a:outerShdw>
              </a:effectLst>
            </c:spPr>
          </c:dPt>
          <c:dPt>
            <c:idx val="18"/>
            <c:bubble3D val="0"/>
            <c:spPr>
              <a:solidFill>
                <a:schemeClr val="accent5">
                  <a:lumMod val="60000"/>
                </a:schemeClr>
              </a:solidFill>
              <a:ln>
                <a:noFill/>
              </a:ln>
              <a:effectLst>
                <a:outerShdw blurRad="254000" sx="102000" sy="102000" algn="ctr" rotWithShape="0">
                  <a:prstClr val="black">
                    <a:alpha val="20000"/>
                  </a:prstClr>
                </a:outerShdw>
              </a:effectLst>
            </c:spPr>
          </c:dPt>
          <c:dPt>
            <c:idx val="19"/>
            <c:bubble3D val="0"/>
            <c:spPr>
              <a:solidFill>
                <a:schemeClr val="accent6">
                  <a:lumMod val="60000"/>
                </a:schemeClr>
              </a:solidFill>
              <a:ln>
                <a:noFill/>
              </a:ln>
              <a:effectLst>
                <a:outerShdw blurRad="254000" sx="102000" sy="102000" algn="ctr" rotWithShape="0">
                  <a:prstClr val="black">
                    <a:alpha val="20000"/>
                  </a:prstClr>
                </a:outerShdw>
              </a:effectLst>
            </c:spPr>
          </c:dPt>
          <c:dPt>
            <c:idx val="20"/>
            <c:bubble3D val="0"/>
            <c:spPr>
              <a:solidFill>
                <a:schemeClr val="accent1">
                  <a:lumMod val="60000"/>
                  <a:lumOff val="40000"/>
                </a:schemeClr>
              </a:solidFill>
              <a:ln>
                <a:noFill/>
              </a:ln>
              <a:effectLst>
                <a:outerShdw blurRad="254000" sx="102000" sy="102000" algn="ctr" rotWithShape="0">
                  <a:prstClr val="black">
                    <a:alpha val="20000"/>
                  </a:prstClr>
                </a:outerShdw>
              </a:effectLst>
            </c:spPr>
          </c:dPt>
          <c:dPt>
            <c:idx val="21"/>
            <c:bubble3D val="0"/>
            <c:spPr>
              <a:solidFill>
                <a:schemeClr val="accent1">
                  <a:lumMod val="80000"/>
                  <a:lumOff val="20000"/>
                </a:schemeClr>
              </a:solidFill>
              <a:ln>
                <a:noFill/>
              </a:ln>
              <a:effectLst>
                <a:outerShdw blurRad="254000" sx="102000" sy="102000" algn="ctr" rotWithShape="0">
                  <a:prstClr val="black">
                    <a:alpha val="20000"/>
                  </a:prstClr>
                </a:outerShdw>
              </a:effectLst>
            </c:spPr>
          </c:dPt>
          <c:dPt>
            <c:idx val="22"/>
            <c:bubble3D val="0"/>
            <c:spPr>
              <a:solidFill>
                <a:schemeClr val="accent2">
                  <a:lumMod val="80000"/>
                  <a:lumOff val="20000"/>
                </a:schemeClr>
              </a:solidFill>
              <a:ln>
                <a:noFill/>
              </a:ln>
              <a:effectLst>
                <a:outerShdw blurRad="254000" sx="102000" sy="102000" algn="ctr" rotWithShape="0">
                  <a:prstClr val="black">
                    <a:alpha val="20000"/>
                  </a:prstClr>
                </a:outerShdw>
              </a:effectLst>
            </c:spPr>
          </c:dPt>
          <c:dPt>
            <c:idx val="23"/>
            <c:bubble3D val="0"/>
            <c:spPr>
              <a:solidFill>
                <a:schemeClr val="accent3">
                  <a:lumMod val="80000"/>
                  <a:lumOff val="20000"/>
                </a:schemeClr>
              </a:solidFill>
              <a:ln>
                <a:noFill/>
              </a:ln>
              <a:effectLst>
                <a:outerShdw blurRad="254000" sx="102000" sy="102000" algn="ctr" rotWithShape="0">
                  <a:prstClr val="black">
                    <a:alpha val="20000"/>
                  </a:prstClr>
                </a:outerShdw>
              </a:effectLst>
            </c:spPr>
          </c:dPt>
          <c:dPt>
            <c:idx val="24"/>
            <c:bubble3D val="0"/>
            <c:spPr>
              <a:solidFill>
                <a:schemeClr val="accent4">
                  <a:lumMod val="80000"/>
                  <a:lumOff val="20000"/>
                </a:schemeClr>
              </a:solidFill>
              <a:ln>
                <a:noFill/>
              </a:ln>
              <a:effectLst>
                <a:outerShdw blurRad="254000" sx="102000" sy="102000" algn="ctr" rotWithShape="0">
                  <a:prstClr val="black">
                    <a:alpha val="20000"/>
                  </a:prstClr>
                </a:outerShdw>
              </a:effectLst>
            </c:spPr>
          </c:dPt>
          <c:cat>
            <c:strRef>
              <c:f>'US GPI Pie Charts'!$A$5:$A$29</c:f>
              <c:strCache>
                <c:ptCount val="25"/>
                <c:pt idx="0">
                  <c:v>Personal Consumption Expenditures</c:v>
                </c:pt>
                <c:pt idx="1">
                  <c:v>Cost of Nonrenewable Energy Resource Depletion</c:v>
                </c:pt>
                <c:pt idx="2">
                  <c:v>Cost of Inequality</c:v>
                </c:pt>
                <c:pt idx="3">
                  <c:v>Benefits of Housework</c:v>
                </c:pt>
                <c:pt idx="4">
                  <c:v>Benefits of Consumer Durables</c:v>
                </c:pt>
                <c:pt idx="5">
                  <c:v>Cost of Motor Vehicle Crashes</c:v>
                </c:pt>
                <c:pt idx="6">
                  <c:v>Benefits of Higher Education</c:v>
                </c:pt>
                <c:pt idx="7">
                  <c:v>Cost of Consumer Durables</c:v>
                </c:pt>
                <c:pt idx="8">
                  <c:v>Cost of Climate Change</c:v>
                </c:pt>
                <c:pt idx="9">
                  <c:v>Cost of Lost Leisure Time</c:v>
                </c:pt>
                <c:pt idx="10">
                  <c:v>Cost of Ozone Depletion</c:v>
                </c:pt>
                <c:pt idx="11">
                  <c:v>Cost of Underemployment</c:v>
                </c:pt>
                <c:pt idx="12">
                  <c:v>Cost of Commuting</c:v>
                </c:pt>
                <c:pt idx="13">
                  <c:v>Net Capital Investment</c:v>
                </c:pt>
                <c:pt idx="14">
                  <c:v>Cost of Net Farmland Change</c:v>
                </c:pt>
                <c:pt idx="15">
                  <c:v>Benefits of Highways and Streets</c:v>
                </c:pt>
                <c:pt idx="16">
                  <c:v>Benefits of Volunteer Work</c:v>
                </c:pt>
                <c:pt idx="17">
                  <c:v>Cost of Crime</c:v>
                </c:pt>
                <c:pt idx="18">
                  <c:v>Cost of Personal Pollution Abatement</c:v>
                </c:pt>
                <c:pt idx="19">
                  <c:v>Cost of Net Forest Cover Change</c:v>
                </c:pt>
                <c:pt idx="20">
                  <c:v>Cost of Family Changes</c:v>
                </c:pt>
                <c:pt idx="21">
                  <c:v>Cost of Water Pollution</c:v>
                </c:pt>
                <c:pt idx="22">
                  <c:v>Cost of Noise Pollution</c:v>
                </c:pt>
                <c:pt idx="23">
                  <c:v>Cost of Air Pollution</c:v>
                </c:pt>
                <c:pt idx="24">
                  <c:v>Cost of Net Wetland Change</c:v>
                </c:pt>
              </c:strCache>
            </c:strRef>
          </c:cat>
          <c:val>
            <c:numRef>
              <c:f>'US GPI Pie Charts'!$C$5:$C$29</c:f>
              <c:numCache>
                <c:formatCode>#,##0_);\(#,##0\)</c:formatCode>
                <c:ptCount val="25"/>
                <c:pt idx="0">
                  <c:v>34372.10143747027</c:v>
                </c:pt>
                <c:pt idx="1">
                  <c:v>8171.975907392448</c:v>
                </c:pt>
                <c:pt idx="2">
                  <c:v>7884.898117544349</c:v>
                </c:pt>
                <c:pt idx="3">
                  <c:v>6864.2202714925</c:v>
                </c:pt>
                <c:pt idx="4">
                  <c:v>6238.395931935534</c:v>
                </c:pt>
                <c:pt idx="5">
                  <c:v>5179.373785143382</c:v>
                </c:pt>
                <c:pt idx="6">
                  <c:v>3942.386272896558</c:v>
                </c:pt>
                <c:pt idx="7">
                  <c:v>3617.550809295897</c:v>
                </c:pt>
                <c:pt idx="8">
                  <c:v>2496.333788641744</c:v>
                </c:pt>
                <c:pt idx="9">
                  <c:v>2215.945032905033</c:v>
                </c:pt>
                <c:pt idx="10">
                  <c:v>2017.518182113681</c:v>
                </c:pt>
                <c:pt idx="11">
                  <c:v>1392.814784054068</c:v>
                </c:pt>
                <c:pt idx="12">
                  <c:v>1319.201865927341</c:v>
                </c:pt>
                <c:pt idx="13">
                  <c:v>828.3789348433533</c:v>
                </c:pt>
                <c:pt idx="14">
                  <c:v>768.7740486710866</c:v>
                </c:pt>
                <c:pt idx="15">
                  <c:v>754.7178944990633</c:v>
                </c:pt>
                <c:pt idx="16">
                  <c:v>569.051311093652</c:v>
                </c:pt>
                <c:pt idx="17">
                  <c:v>249.8005598426133</c:v>
                </c:pt>
                <c:pt idx="18">
                  <c:v>238.8269009362192</c:v>
                </c:pt>
                <c:pt idx="19">
                  <c:v>222.6313381673621</c:v>
                </c:pt>
                <c:pt idx="20">
                  <c:v>216.5918863092033</c:v>
                </c:pt>
                <c:pt idx="21">
                  <c:v>143.121835169031</c:v>
                </c:pt>
                <c:pt idx="22">
                  <c:v>101.4954752554807</c:v>
                </c:pt>
                <c:pt idx="23">
                  <c:v>47.5240765920753</c:v>
                </c:pt>
                <c:pt idx="24">
                  <c:v>10.43384417460122</c:v>
                </c:pt>
              </c:numCache>
            </c:numRef>
          </c:val>
        </c:ser>
        <c:dLbls>
          <c:showLegendKey val="0"/>
          <c:showVal val="0"/>
          <c:showCatName val="0"/>
          <c:showSerName val="0"/>
          <c:showPercent val="0"/>
          <c:showBubbleSize val="0"/>
          <c:showLeaderLines val="0"/>
        </c:dLbls>
        <c:firstSliceAng val="0"/>
      </c:pieChart>
      <c:spPr>
        <a:noFill/>
        <a:ln w="25400">
          <a:noFill/>
        </a:ln>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1.0" l="0.75" r="0.75" t="1.0"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Sustainability Category</a:t>
            </a:r>
            <a:r>
              <a:rPr lang="en-US" baseline="0"/>
              <a:t> Relative Influence</a:t>
            </a:r>
            <a:endParaRPr lang="en-US"/>
          </a:p>
        </c:rich>
      </c:tx>
      <c:layout/>
      <c:overlay val="0"/>
      <c:spPr>
        <a:noFill/>
        <a:ln w="25400">
          <a:noFill/>
        </a:ln>
      </c:spPr>
    </c:title>
    <c:autoTitleDeleted val="0"/>
    <c:plotArea>
      <c:layout/>
      <c:pieChart>
        <c:varyColors val="1"/>
        <c:ser>
          <c:idx val="0"/>
          <c:order val="0"/>
          <c:spPr>
            <a:solidFill>
              <a:srgbClr val="4F81BD"/>
            </a:solidFill>
            <a:ln w="25400">
              <a:noFill/>
            </a:ln>
          </c:spPr>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'US GPI Pie Charts'!$B$32:$B$34</c:f>
              <c:strCache>
                <c:ptCount val="3"/>
                <c:pt idx="0">
                  <c:v>Economic</c:v>
                </c:pt>
                <c:pt idx="1">
                  <c:v>Social</c:v>
                </c:pt>
                <c:pt idx="2">
                  <c:v>Environmental</c:v>
                </c:pt>
              </c:strCache>
            </c:strRef>
          </c:cat>
          <c:val>
            <c:numRef>
              <c:f>'US GPI Pie Charts'!$C$32:$C$34</c:f>
              <c:numCache>
                <c:formatCode>#,##0_);\(#,##0\)</c:formatCode>
                <c:ptCount val="3"/>
                <c:pt idx="0">
                  <c:v>68710.96545097849</c:v>
                </c:pt>
                <c:pt idx="1">
                  <c:v>1799.477227540238</c:v>
                </c:pt>
                <c:pt idx="2">
                  <c:v>19353.62161384782</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12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1.0" l="0.75" r="0.75" t="1.0"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CO2 From Energy Sources</a:t>
            </a:r>
          </a:p>
        </c:rich>
      </c:tx>
      <c:layout/>
      <c:overlay val="0"/>
      <c:spPr>
        <a:noFill/>
        <a:ln w="25400">
          <a:noFill/>
        </a:ln>
      </c:spPr>
    </c:title>
    <c:autoTitleDeleted val="0"/>
    <c:plotArea>
      <c:layout>
        <c:manualLayout>
          <c:layoutTarget val="inner"/>
          <c:xMode val="edge"/>
          <c:yMode val="edge"/>
          <c:x val="0.0369415768818988"/>
          <c:y val="0.0711678832116788"/>
          <c:w val="0.951030828099115"/>
          <c:h val="0.824817518248175"/>
        </c:manualLayout>
      </c:layout>
      <c:barChart>
        <c:barDir val="col"/>
        <c:grouping val="stacked"/>
        <c:varyColors val="0"/>
        <c:ser>
          <c:idx val="0"/>
          <c:order val="0"/>
          <c:tx>
            <c:strRef>
              <c:f>'Cost Climate Change'!$E$37</c:f>
              <c:strCache>
                <c:ptCount val="1"/>
                <c:pt idx="0">
                  <c:v>Coal</c:v>
                </c:pt>
              </c:strCache>
            </c:strRef>
          </c:tx>
          <c:spPr>
            <a:solidFill>
              <a:srgbClr val="4F81BD"/>
            </a:solidFill>
            <a:ln w="25400">
              <a:noFill/>
            </a:ln>
          </c:spPr>
          <c:invertIfNegative val="0"/>
          <c:cat>
            <c:strRef>
              <c:f>'Cost Climate Change'!$F$36:$BC$36</c:f>
              <c:strCache>
                <c:ptCount val="50"/>
                <c:pt idx="0">
                  <c:v>AL</c:v>
                </c:pt>
                <c:pt idx="1">
                  <c:v>AK</c:v>
                </c:pt>
                <c:pt idx="2">
                  <c:v>AZ</c:v>
                </c:pt>
                <c:pt idx="3">
                  <c:v>AR</c:v>
                </c:pt>
                <c:pt idx="4">
                  <c:v>CA</c:v>
                </c:pt>
                <c:pt idx="5">
                  <c:v>CO</c:v>
                </c:pt>
                <c:pt idx="6">
                  <c:v>CT</c:v>
                </c:pt>
                <c:pt idx="7">
                  <c:v>DE</c:v>
                </c:pt>
                <c:pt idx="8">
                  <c:v>FL</c:v>
                </c:pt>
                <c:pt idx="9">
                  <c:v>GA</c:v>
                </c:pt>
                <c:pt idx="10">
                  <c:v>HI</c:v>
                </c:pt>
                <c:pt idx="11">
                  <c:v>ID</c:v>
                </c:pt>
                <c:pt idx="12">
                  <c:v>IL</c:v>
                </c:pt>
                <c:pt idx="13">
                  <c:v>IN</c:v>
                </c:pt>
                <c:pt idx="14">
                  <c:v>IA</c:v>
                </c:pt>
                <c:pt idx="15">
                  <c:v>KS</c:v>
                </c:pt>
                <c:pt idx="16">
                  <c:v>KY</c:v>
                </c:pt>
                <c:pt idx="17">
                  <c:v>LA</c:v>
                </c:pt>
                <c:pt idx="18">
                  <c:v>ME</c:v>
                </c:pt>
                <c:pt idx="19">
                  <c:v>MD</c:v>
                </c:pt>
                <c:pt idx="20">
                  <c:v>MA</c:v>
                </c:pt>
                <c:pt idx="21">
                  <c:v>MI</c:v>
                </c:pt>
                <c:pt idx="22">
                  <c:v>MN</c:v>
                </c:pt>
                <c:pt idx="23">
                  <c:v>MS</c:v>
                </c:pt>
                <c:pt idx="24">
                  <c:v>MO</c:v>
                </c:pt>
                <c:pt idx="25">
                  <c:v>MT</c:v>
                </c:pt>
                <c:pt idx="26">
                  <c:v>NE</c:v>
                </c:pt>
                <c:pt idx="27">
                  <c:v>NV</c:v>
                </c:pt>
                <c:pt idx="28">
                  <c:v>NH</c:v>
                </c:pt>
                <c:pt idx="29">
                  <c:v>NJ</c:v>
                </c:pt>
                <c:pt idx="30">
                  <c:v>NM</c:v>
                </c:pt>
                <c:pt idx="31">
                  <c:v>NY</c:v>
                </c:pt>
                <c:pt idx="32">
                  <c:v>NC</c:v>
                </c:pt>
                <c:pt idx="33">
                  <c:v>ND</c:v>
                </c:pt>
                <c:pt idx="34">
                  <c:v>OH</c:v>
                </c:pt>
                <c:pt idx="35">
                  <c:v>OK</c:v>
                </c:pt>
                <c:pt idx="36">
                  <c:v>OR</c:v>
                </c:pt>
                <c:pt idx="37">
                  <c:v>PA</c:v>
                </c:pt>
                <c:pt idx="38">
                  <c:v>RI</c:v>
                </c:pt>
                <c:pt idx="39">
                  <c:v>SC</c:v>
                </c:pt>
                <c:pt idx="40">
                  <c:v>SD</c:v>
                </c:pt>
                <c:pt idx="41">
                  <c:v>TN</c:v>
                </c:pt>
                <c:pt idx="42">
                  <c:v>TX</c:v>
                </c:pt>
                <c:pt idx="43">
                  <c:v>UT</c:v>
                </c:pt>
                <c:pt idx="44">
                  <c:v>VT</c:v>
                </c:pt>
                <c:pt idx="45">
                  <c:v>VA</c:v>
                </c:pt>
                <c:pt idx="46">
                  <c:v>WA</c:v>
                </c:pt>
                <c:pt idx="47">
                  <c:v>WV</c:v>
                </c:pt>
                <c:pt idx="48">
                  <c:v>WI</c:v>
                </c:pt>
                <c:pt idx="49">
                  <c:v>WY</c:v>
                </c:pt>
              </c:strCache>
            </c:strRef>
          </c:cat>
          <c:val>
            <c:numRef>
              <c:f>'Cost Climate Change'!$F$37:$BC$37</c:f>
              <c:numCache>
                <c:formatCode>0%</c:formatCode>
                <c:ptCount val="50"/>
                <c:pt idx="0">
                  <c:v>0.420410128530488</c:v>
                </c:pt>
                <c:pt idx="1">
                  <c:v>0.0383215120236978</c:v>
                </c:pt>
                <c:pt idx="2">
                  <c:v>0.458649061350809</c:v>
                </c:pt>
                <c:pt idx="3">
                  <c:v>0.381219585238374</c:v>
                </c:pt>
                <c:pt idx="4">
                  <c:v>0.0139944763632888</c:v>
                </c:pt>
                <c:pt idx="5">
                  <c:v>0.370130727708086</c:v>
                </c:pt>
                <c:pt idx="6">
                  <c:v>0.0155307820930023</c:v>
                </c:pt>
                <c:pt idx="7">
                  <c:v>0.126167090665897</c:v>
                </c:pt>
                <c:pt idx="8">
                  <c:v>0.211292198473361</c:v>
                </c:pt>
                <c:pt idx="9">
                  <c:v>0.347994725081056</c:v>
                </c:pt>
                <c:pt idx="10">
                  <c:v>0.0779024076266266</c:v>
                </c:pt>
                <c:pt idx="11">
                  <c:v>0.0390088903982768</c:v>
                </c:pt>
                <c:pt idx="12">
                  <c:v>0.416009783143387</c:v>
                </c:pt>
                <c:pt idx="13">
                  <c:v>0.583788699691979</c:v>
                </c:pt>
                <c:pt idx="14">
                  <c:v>0.484141228138847</c:v>
                </c:pt>
                <c:pt idx="15">
                  <c:v>0.429361100768957</c:v>
                </c:pt>
                <c:pt idx="16">
                  <c:v>0.624828716256923</c:v>
                </c:pt>
                <c:pt idx="17">
                  <c:v>0.103136541232141</c:v>
                </c:pt>
                <c:pt idx="18">
                  <c:v>0.00528536028949025</c:v>
                </c:pt>
                <c:pt idx="19">
                  <c:v>0.328290197950291</c:v>
                </c:pt>
                <c:pt idx="20">
                  <c:v>0.0568761723597183</c:v>
                </c:pt>
                <c:pt idx="21">
                  <c:v>0.38403732789119</c:v>
                </c:pt>
                <c:pt idx="22">
                  <c:v>0.295542042678372</c:v>
                </c:pt>
                <c:pt idx="23">
                  <c:v>0.152126379586335</c:v>
                </c:pt>
                <c:pt idx="24">
                  <c:v>0.555540254635136</c:v>
                </c:pt>
                <c:pt idx="25">
                  <c:v>0.483683956852602</c:v>
                </c:pt>
                <c:pt idx="26">
                  <c:v>0.505985806900624</c:v>
                </c:pt>
                <c:pt idx="27">
                  <c:v>0.172992596756124</c:v>
                </c:pt>
                <c:pt idx="28">
                  <c:v>0.123045980770489</c:v>
                </c:pt>
                <c:pt idx="29">
                  <c:v>0.0390703141086187</c:v>
                </c:pt>
                <c:pt idx="30">
                  <c:v>0.459087472661981</c:v>
                </c:pt>
                <c:pt idx="31">
                  <c:v>0.0689881414618269</c:v>
                </c:pt>
                <c:pt idx="32">
                  <c:v>0.422869025879526</c:v>
                </c:pt>
                <c:pt idx="33">
                  <c:v>0.687779798970137</c:v>
                </c:pt>
                <c:pt idx="34">
                  <c:v>0.470160875905568</c:v>
                </c:pt>
                <c:pt idx="35">
                  <c:v>0.321913739173662</c:v>
                </c:pt>
                <c:pt idx="36">
                  <c:v>0.0792093860997053</c:v>
                </c:pt>
                <c:pt idx="37">
                  <c:v>0.439733221149752</c:v>
                </c:pt>
                <c:pt idx="38">
                  <c:v>0.0</c:v>
                </c:pt>
                <c:pt idx="39">
                  <c:v>0.388889245619174</c:v>
                </c:pt>
                <c:pt idx="40">
                  <c:v>0.198434148557496</c:v>
                </c:pt>
                <c:pt idx="41">
                  <c:v>0.404575883035126</c:v>
                </c:pt>
                <c:pt idx="42">
                  <c:v>0.206384681367303</c:v>
                </c:pt>
                <c:pt idx="43">
                  <c:v>0.501838584795369</c:v>
                </c:pt>
                <c:pt idx="44">
                  <c:v>0.0</c:v>
                </c:pt>
                <c:pt idx="45">
                  <c:v>0.251208025104389</c:v>
                </c:pt>
                <c:pt idx="46">
                  <c:v>0.0681272375530898</c:v>
                </c:pt>
                <c:pt idx="47">
                  <c:v>0.782924655802932</c:v>
                </c:pt>
                <c:pt idx="48">
                  <c:v>0.391686670209279</c:v>
                </c:pt>
                <c:pt idx="49">
                  <c:v>0.685805656513024</c:v>
                </c:pt>
              </c:numCache>
            </c:numRef>
          </c:val>
        </c:ser>
        <c:ser>
          <c:idx val="1"/>
          <c:order val="1"/>
          <c:tx>
            <c:strRef>
              <c:f>'Cost Climate Change'!$E$38</c:f>
              <c:strCache>
                <c:ptCount val="1"/>
                <c:pt idx="0">
                  <c:v>Natural Gas</c:v>
                </c:pt>
              </c:strCache>
            </c:strRef>
          </c:tx>
          <c:spPr>
            <a:solidFill>
              <a:srgbClr val="C0504D"/>
            </a:solidFill>
            <a:ln w="25400">
              <a:noFill/>
            </a:ln>
          </c:spPr>
          <c:invertIfNegative val="0"/>
          <c:cat>
            <c:strRef>
              <c:f>'Cost Climate Change'!$F$36:$BC$36</c:f>
              <c:strCache>
                <c:ptCount val="50"/>
                <c:pt idx="0">
                  <c:v>AL</c:v>
                </c:pt>
                <c:pt idx="1">
                  <c:v>AK</c:v>
                </c:pt>
                <c:pt idx="2">
                  <c:v>AZ</c:v>
                </c:pt>
                <c:pt idx="3">
                  <c:v>AR</c:v>
                </c:pt>
                <c:pt idx="4">
                  <c:v>CA</c:v>
                </c:pt>
                <c:pt idx="5">
                  <c:v>CO</c:v>
                </c:pt>
                <c:pt idx="6">
                  <c:v>CT</c:v>
                </c:pt>
                <c:pt idx="7">
                  <c:v>DE</c:v>
                </c:pt>
                <c:pt idx="8">
                  <c:v>FL</c:v>
                </c:pt>
                <c:pt idx="9">
                  <c:v>GA</c:v>
                </c:pt>
                <c:pt idx="10">
                  <c:v>HI</c:v>
                </c:pt>
                <c:pt idx="11">
                  <c:v>ID</c:v>
                </c:pt>
                <c:pt idx="12">
                  <c:v>IL</c:v>
                </c:pt>
                <c:pt idx="13">
                  <c:v>IN</c:v>
                </c:pt>
                <c:pt idx="14">
                  <c:v>IA</c:v>
                </c:pt>
                <c:pt idx="15">
                  <c:v>KS</c:v>
                </c:pt>
                <c:pt idx="16">
                  <c:v>KY</c:v>
                </c:pt>
                <c:pt idx="17">
                  <c:v>LA</c:v>
                </c:pt>
                <c:pt idx="18">
                  <c:v>ME</c:v>
                </c:pt>
                <c:pt idx="19">
                  <c:v>MD</c:v>
                </c:pt>
                <c:pt idx="20">
                  <c:v>MA</c:v>
                </c:pt>
                <c:pt idx="21">
                  <c:v>MI</c:v>
                </c:pt>
                <c:pt idx="22">
                  <c:v>MN</c:v>
                </c:pt>
                <c:pt idx="23">
                  <c:v>MS</c:v>
                </c:pt>
                <c:pt idx="24">
                  <c:v>MO</c:v>
                </c:pt>
                <c:pt idx="25">
                  <c:v>MT</c:v>
                </c:pt>
                <c:pt idx="26">
                  <c:v>NE</c:v>
                </c:pt>
                <c:pt idx="27">
                  <c:v>NV</c:v>
                </c:pt>
                <c:pt idx="28">
                  <c:v>NH</c:v>
                </c:pt>
                <c:pt idx="29">
                  <c:v>NJ</c:v>
                </c:pt>
                <c:pt idx="30">
                  <c:v>NM</c:v>
                </c:pt>
                <c:pt idx="31">
                  <c:v>NY</c:v>
                </c:pt>
                <c:pt idx="32">
                  <c:v>NC</c:v>
                </c:pt>
                <c:pt idx="33">
                  <c:v>ND</c:v>
                </c:pt>
                <c:pt idx="34">
                  <c:v>OH</c:v>
                </c:pt>
                <c:pt idx="35">
                  <c:v>OK</c:v>
                </c:pt>
                <c:pt idx="36">
                  <c:v>OR</c:v>
                </c:pt>
                <c:pt idx="37">
                  <c:v>PA</c:v>
                </c:pt>
                <c:pt idx="38">
                  <c:v>RI</c:v>
                </c:pt>
                <c:pt idx="39">
                  <c:v>SC</c:v>
                </c:pt>
                <c:pt idx="40">
                  <c:v>SD</c:v>
                </c:pt>
                <c:pt idx="41">
                  <c:v>TN</c:v>
                </c:pt>
                <c:pt idx="42">
                  <c:v>TX</c:v>
                </c:pt>
                <c:pt idx="43">
                  <c:v>UT</c:v>
                </c:pt>
                <c:pt idx="44">
                  <c:v>VT</c:v>
                </c:pt>
                <c:pt idx="45">
                  <c:v>VA</c:v>
                </c:pt>
                <c:pt idx="46">
                  <c:v>WA</c:v>
                </c:pt>
                <c:pt idx="47">
                  <c:v>WV</c:v>
                </c:pt>
                <c:pt idx="48">
                  <c:v>WI</c:v>
                </c:pt>
                <c:pt idx="49">
                  <c:v>WY</c:v>
                </c:pt>
              </c:strCache>
            </c:strRef>
          </c:cat>
          <c:val>
            <c:numRef>
              <c:f>'Cost Climate Change'!$F$38:$BC$38</c:f>
              <c:numCache>
                <c:formatCode>0%</c:formatCode>
                <c:ptCount val="50"/>
                <c:pt idx="0">
                  <c:v>0.221599525899084</c:v>
                </c:pt>
                <c:pt idx="1">
                  <c:v>0.465032842082022</c:v>
                </c:pt>
                <c:pt idx="2">
                  <c:v>0.163479700018183</c:v>
                </c:pt>
                <c:pt idx="3">
                  <c:v>0.200609265492739</c:v>
                </c:pt>
                <c:pt idx="4">
                  <c:v>0.310259641999413</c:v>
                </c:pt>
                <c:pt idx="5">
                  <c:v>0.266840764943526</c:v>
                </c:pt>
                <c:pt idx="6">
                  <c:v>0.334939108439556</c:v>
                </c:pt>
                <c:pt idx="7">
                  <c:v>0.321408901361169</c:v>
                </c:pt>
                <c:pt idx="8">
                  <c:v>0.263855423614804</c:v>
                </c:pt>
                <c:pt idx="9">
                  <c:v>0.162653533084002</c:v>
                </c:pt>
                <c:pt idx="10">
                  <c:v>0.000540129360981955</c:v>
                </c:pt>
                <c:pt idx="11">
                  <c:v>0.234192909081605</c:v>
                </c:pt>
                <c:pt idx="12">
                  <c:v>0.217671262476036</c:v>
                </c:pt>
                <c:pt idx="13">
                  <c:v>0.155220296585129</c:v>
                </c:pt>
                <c:pt idx="14">
                  <c:v>0.161979306210033</c:v>
                </c:pt>
                <c:pt idx="15">
                  <c:v>0.196832649598462</c:v>
                </c:pt>
                <c:pt idx="16">
                  <c:v>0.0788861387633407</c:v>
                </c:pt>
                <c:pt idx="17">
                  <c:v>0.32033623400784</c:v>
                </c:pt>
                <c:pt idx="18">
                  <c:v>0.145531780994336</c:v>
                </c:pt>
                <c:pt idx="19">
                  <c:v>0.151249747568907</c:v>
                </c:pt>
                <c:pt idx="20">
                  <c:v>0.34048186945119</c:v>
                </c:pt>
                <c:pt idx="21">
                  <c:v>0.24418308924329</c:v>
                </c:pt>
                <c:pt idx="22">
                  <c:v>0.222133465626153</c:v>
                </c:pt>
                <c:pt idx="23">
                  <c:v>0.346739542524959</c:v>
                </c:pt>
                <c:pt idx="24">
                  <c:v>0.103243656029745</c:v>
                </c:pt>
                <c:pt idx="25">
                  <c:v>0.129523654359204</c:v>
                </c:pt>
                <c:pt idx="26">
                  <c:v>0.17188064338972</c:v>
                </c:pt>
                <c:pt idx="27">
                  <c:v>0.394685679747142</c:v>
                </c:pt>
                <c:pt idx="28">
                  <c:v>0.201825775767826</c:v>
                </c:pt>
                <c:pt idx="29">
                  <c:v>0.297819551131039</c:v>
                </c:pt>
                <c:pt idx="30">
                  <c:v>0.226714307571844</c:v>
                </c:pt>
                <c:pt idx="31">
                  <c:v>0.383481597096747</c:v>
                </c:pt>
                <c:pt idx="32">
                  <c:v>0.117556657404379</c:v>
                </c:pt>
                <c:pt idx="33">
                  <c:v>0.0702024478485105</c:v>
                </c:pt>
                <c:pt idx="34">
                  <c:v>0.181497169204363</c:v>
                </c:pt>
                <c:pt idx="35">
                  <c:v>0.321492222926288</c:v>
                </c:pt>
                <c:pt idx="36">
                  <c:v>0.256568506436255</c:v>
                </c:pt>
                <c:pt idx="37">
                  <c:v>0.20205184668731</c:v>
                </c:pt>
                <c:pt idx="38">
                  <c:v>0.480863208100395</c:v>
                </c:pt>
                <c:pt idx="39">
                  <c:v>0.139585816381922</c:v>
                </c:pt>
                <c:pt idx="40">
                  <c:v>0.255320617139834</c:v>
                </c:pt>
                <c:pt idx="41">
                  <c:v>0.121376871823254</c:v>
                </c:pt>
                <c:pt idx="42">
                  <c:v>0.255287139423649</c:v>
                </c:pt>
                <c:pt idx="43">
                  <c:v>0.186568824559771</c:v>
                </c:pt>
                <c:pt idx="44">
                  <c:v>0.0630282540449167</c:v>
                </c:pt>
                <c:pt idx="45">
                  <c:v>0.186361910258213</c:v>
                </c:pt>
                <c:pt idx="46">
                  <c:v>0.181583687265126</c:v>
                </c:pt>
                <c:pt idx="47">
                  <c:v>0.066349322008913</c:v>
                </c:pt>
                <c:pt idx="48">
                  <c:v>0.195063553239963</c:v>
                </c:pt>
                <c:pt idx="49">
                  <c:v>0.13242043077561</c:v>
                </c:pt>
              </c:numCache>
            </c:numRef>
          </c:val>
        </c:ser>
        <c:ser>
          <c:idx val="2"/>
          <c:order val="2"/>
          <c:tx>
            <c:strRef>
              <c:f>'Cost Climate Change'!$E$39</c:f>
              <c:strCache>
                <c:ptCount val="1"/>
                <c:pt idx="0">
                  <c:v>Petroleum</c:v>
                </c:pt>
              </c:strCache>
            </c:strRef>
          </c:tx>
          <c:spPr>
            <a:solidFill>
              <a:srgbClr val="9BBB59"/>
            </a:solidFill>
            <a:ln w="25400">
              <a:noFill/>
            </a:ln>
          </c:spPr>
          <c:invertIfNegative val="0"/>
          <c:cat>
            <c:strRef>
              <c:f>'Cost Climate Change'!$F$36:$BC$36</c:f>
              <c:strCache>
                <c:ptCount val="50"/>
                <c:pt idx="0">
                  <c:v>AL</c:v>
                </c:pt>
                <c:pt idx="1">
                  <c:v>AK</c:v>
                </c:pt>
                <c:pt idx="2">
                  <c:v>AZ</c:v>
                </c:pt>
                <c:pt idx="3">
                  <c:v>AR</c:v>
                </c:pt>
                <c:pt idx="4">
                  <c:v>CA</c:v>
                </c:pt>
                <c:pt idx="5">
                  <c:v>CO</c:v>
                </c:pt>
                <c:pt idx="6">
                  <c:v>CT</c:v>
                </c:pt>
                <c:pt idx="7">
                  <c:v>DE</c:v>
                </c:pt>
                <c:pt idx="8">
                  <c:v>FL</c:v>
                </c:pt>
                <c:pt idx="9">
                  <c:v>GA</c:v>
                </c:pt>
                <c:pt idx="10">
                  <c:v>HI</c:v>
                </c:pt>
                <c:pt idx="11">
                  <c:v>ID</c:v>
                </c:pt>
                <c:pt idx="12">
                  <c:v>IL</c:v>
                </c:pt>
                <c:pt idx="13">
                  <c:v>IN</c:v>
                </c:pt>
                <c:pt idx="14">
                  <c:v>IA</c:v>
                </c:pt>
                <c:pt idx="15">
                  <c:v>KS</c:v>
                </c:pt>
                <c:pt idx="16">
                  <c:v>KY</c:v>
                </c:pt>
                <c:pt idx="17">
                  <c:v>LA</c:v>
                </c:pt>
                <c:pt idx="18">
                  <c:v>ME</c:v>
                </c:pt>
                <c:pt idx="19">
                  <c:v>MD</c:v>
                </c:pt>
                <c:pt idx="20">
                  <c:v>MA</c:v>
                </c:pt>
                <c:pt idx="21">
                  <c:v>MI</c:v>
                </c:pt>
                <c:pt idx="22">
                  <c:v>MN</c:v>
                </c:pt>
                <c:pt idx="23">
                  <c:v>MS</c:v>
                </c:pt>
                <c:pt idx="24">
                  <c:v>MO</c:v>
                </c:pt>
                <c:pt idx="25">
                  <c:v>MT</c:v>
                </c:pt>
                <c:pt idx="26">
                  <c:v>NE</c:v>
                </c:pt>
                <c:pt idx="27">
                  <c:v>NV</c:v>
                </c:pt>
                <c:pt idx="28">
                  <c:v>NH</c:v>
                </c:pt>
                <c:pt idx="29">
                  <c:v>NJ</c:v>
                </c:pt>
                <c:pt idx="30">
                  <c:v>NM</c:v>
                </c:pt>
                <c:pt idx="31">
                  <c:v>NY</c:v>
                </c:pt>
                <c:pt idx="32">
                  <c:v>NC</c:v>
                </c:pt>
                <c:pt idx="33">
                  <c:v>ND</c:v>
                </c:pt>
                <c:pt idx="34">
                  <c:v>OH</c:v>
                </c:pt>
                <c:pt idx="35">
                  <c:v>OK</c:v>
                </c:pt>
                <c:pt idx="36">
                  <c:v>OR</c:v>
                </c:pt>
                <c:pt idx="37">
                  <c:v>PA</c:v>
                </c:pt>
                <c:pt idx="38">
                  <c:v>RI</c:v>
                </c:pt>
                <c:pt idx="39">
                  <c:v>SC</c:v>
                </c:pt>
                <c:pt idx="40">
                  <c:v>SD</c:v>
                </c:pt>
                <c:pt idx="41">
                  <c:v>TN</c:v>
                </c:pt>
                <c:pt idx="42">
                  <c:v>TX</c:v>
                </c:pt>
                <c:pt idx="43">
                  <c:v>UT</c:v>
                </c:pt>
                <c:pt idx="44">
                  <c:v>VT</c:v>
                </c:pt>
                <c:pt idx="45">
                  <c:v>VA</c:v>
                </c:pt>
                <c:pt idx="46">
                  <c:v>WA</c:v>
                </c:pt>
                <c:pt idx="47">
                  <c:v>WV</c:v>
                </c:pt>
                <c:pt idx="48">
                  <c:v>WI</c:v>
                </c:pt>
                <c:pt idx="49">
                  <c:v>WY</c:v>
                </c:pt>
              </c:strCache>
            </c:strRef>
          </c:cat>
          <c:val>
            <c:numRef>
              <c:f>'Cost Climate Change'!$F$39:$BC$39</c:f>
              <c:numCache>
                <c:formatCode>0%</c:formatCode>
                <c:ptCount val="50"/>
                <c:pt idx="0">
                  <c:v>0.26408358161255</c:v>
                </c:pt>
                <c:pt idx="1">
                  <c:v>0.49143530017847</c:v>
                </c:pt>
                <c:pt idx="2">
                  <c:v>0.371748867275487</c:v>
                </c:pt>
                <c:pt idx="3">
                  <c:v>0.311132041699757</c:v>
                </c:pt>
                <c:pt idx="4">
                  <c:v>0.641404770233756</c:v>
                </c:pt>
                <c:pt idx="5">
                  <c:v>0.353099678885746</c:v>
                </c:pt>
                <c:pt idx="6">
                  <c:v>0.597973597078342</c:v>
                </c:pt>
                <c:pt idx="7">
                  <c:v>0.532403157701487</c:v>
                </c:pt>
                <c:pt idx="8">
                  <c:v>0.45857842182835</c:v>
                </c:pt>
                <c:pt idx="9">
                  <c:v>0.406572638754744</c:v>
                </c:pt>
                <c:pt idx="10">
                  <c:v>0.886532324491716</c:v>
                </c:pt>
                <c:pt idx="11">
                  <c:v>0.600322864280696</c:v>
                </c:pt>
                <c:pt idx="12">
                  <c:v>0.353458350381809</c:v>
                </c:pt>
                <c:pt idx="13">
                  <c:v>0.248795588733007</c:v>
                </c:pt>
                <c:pt idx="14">
                  <c:v>0.328782203671278</c:v>
                </c:pt>
                <c:pt idx="15">
                  <c:v>0.367107415343863</c:v>
                </c:pt>
                <c:pt idx="16">
                  <c:v>0.283198707546435</c:v>
                </c:pt>
                <c:pt idx="17">
                  <c:v>0.542471556612012</c:v>
                </c:pt>
                <c:pt idx="18">
                  <c:v>0.499528005034613</c:v>
                </c:pt>
                <c:pt idx="19">
                  <c:v>0.484667699392076</c:v>
                </c:pt>
                <c:pt idx="20">
                  <c:v>0.561071597534484</c:v>
                </c:pt>
                <c:pt idx="21">
                  <c:v>0.329671465760194</c:v>
                </c:pt>
                <c:pt idx="22">
                  <c:v>0.422175540317877</c:v>
                </c:pt>
                <c:pt idx="23">
                  <c:v>0.430725809848772</c:v>
                </c:pt>
                <c:pt idx="24">
                  <c:v>0.321486247950024</c:v>
                </c:pt>
                <c:pt idx="25">
                  <c:v>0.373419139360121</c:v>
                </c:pt>
                <c:pt idx="26">
                  <c:v>0.309787565288092</c:v>
                </c:pt>
                <c:pt idx="27">
                  <c:v>0.426254374381619</c:v>
                </c:pt>
                <c:pt idx="28">
                  <c:v>0.55502088336152</c:v>
                </c:pt>
                <c:pt idx="29">
                  <c:v>0.641890381829519</c:v>
                </c:pt>
                <c:pt idx="30">
                  <c:v>0.302525747989212</c:v>
                </c:pt>
                <c:pt idx="31">
                  <c:v>0.514712327292578</c:v>
                </c:pt>
                <c:pt idx="32">
                  <c:v>0.394273142314258</c:v>
                </c:pt>
                <c:pt idx="33">
                  <c:v>0.238027136195504</c:v>
                </c:pt>
                <c:pt idx="34">
                  <c:v>0.33097047648194</c:v>
                </c:pt>
                <c:pt idx="35">
                  <c:v>0.336009796591695</c:v>
                </c:pt>
                <c:pt idx="36">
                  <c:v>0.569312542509509</c:v>
                </c:pt>
                <c:pt idx="37">
                  <c:v>0.329482502649325</c:v>
                </c:pt>
                <c:pt idx="38">
                  <c:v>0.496031901168928</c:v>
                </c:pt>
                <c:pt idx="39">
                  <c:v>0.381712381103854</c:v>
                </c:pt>
                <c:pt idx="40">
                  <c:v>0.535483240271652</c:v>
                </c:pt>
                <c:pt idx="41">
                  <c:v>0.432438352306618</c:v>
                </c:pt>
                <c:pt idx="42">
                  <c:v>0.529270012464577</c:v>
                </c:pt>
                <c:pt idx="43">
                  <c:v>0.307873619712973</c:v>
                </c:pt>
                <c:pt idx="44">
                  <c:v>0.746679546003381</c:v>
                </c:pt>
                <c:pt idx="45">
                  <c:v>0.492490851917581</c:v>
                </c:pt>
                <c:pt idx="46">
                  <c:v>0.644059505014342</c:v>
                </c:pt>
                <c:pt idx="47">
                  <c:v>0.133371522116662</c:v>
                </c:pt>
                <c:pt idx="48">
                  <c:v>0.339048340367658</c:v>
                </c:pt>
                <c:pt idx="49">
                  <c:v>0.180161624400933</c:v>
                </c:pt>
              </c:numCache>
            </c:numRef>
          </c:val>
        </c:ser>
        <c:ser>
          <c:idx val="3"/>
          <c:order val="3"/>
          <c:tx>
            <c:strRef>
              <c:f>'Cost Climate Change'!$E$40</c:f>
              <c:strCache>
                <c:ptCount val="1"/>
                <c:pt idx="0">
                  <c:v>Wood and Waste</c:v>
                </c:pt>
              </c:strCache>
            </c:strRef>
          </c:tx>
          <c:spPr>
            <a:solidFill>
              <a:srgbClr val="8064A2"/>
            </a:solidFill>
            <a:ln w="25400">
              <a:noFill/>
            </a:ln>
          </c:spPr>
          <c:invertIfNegative val="0"/>
          <c:cat>
            <c:strRef>
              <c:f>'Cost Climate Change'!$F$36:$BC$36</c:f>
              <c:strCache>
                <c:ptCount val="50"/>
                <c:pt idx="0">
                  <c:v>AL</c:v>
                </c:pt>
                <c:pt idx="1">
                  <c:v>AK</c:v>
                </c:pt>
                <c:pt idx="2">
                  <c:v>AZ</c:v>
                </c:pt>
                <c:pt idx="3">
                  <c:v>AR</c:v>
                </c:pt>
                <c:pt idx="4">
                  <c:v>CA</c:v>
                </c:pt>
                <c:pt idx="5">
                  <c:v>CO</c:v>
                </c:pt>
                <c:pt idx="6">
                  <c:v>CT</c:v>
                </c:pt>
                <c:pt idx="7">
                  <c:v>DE</c:v>
                </c:pt>
                <c:pt idx="8">
                  <c:v>FL</c:v>
                </c:pt>
                <c:pt idx="9">
                  <c:v>GA</c:v>
                </c:pt>
                <c:pt idx="10">
                  <c:v>HI</c:v>
                </c:pt>
                <c:pt idx="11">
                  <c:v>ID</c:v>
                </c:pt>
                <c:pt idx="12">
                  <c:v>IL</c:v>
                </c:pt>
                <c:pt idx="13">
                  <c:v>IN</c:v>
                </c:pt>
                <c:pt idx="14">
                  <c:v>IA</c:v>
                </c:pt>
                <c:pt idx="15">
                  <c:v>KS</c:v>
                </c:pt>
                <c:pt idx="16">
                  <c:v>KY</c:v>
                </c:pt>
                <c:pt idx="17">
                  <c:v>LA</c:v>
                </c:pt>
                <c:pt idx="18">
                  <c:v>ME</c:v>
                </c:pt>
                <c:pt idx="19">
                  <c:v>MD</c:v>
                </c:pt>
                <c:pt idx="20">
                  <c:v>MA</c:v>
                </c:pt>
                <c:pt idx="21">
                  <c:v>MI</c:v>
                </c:pt>
                <c:pt idx="22">
                  <c:v>MN</c:v>
                </c:pt>
                <c:pt idx="23">
                  <c:v>MS</c:v>
                </c:pt>
                <c:pt idx="24">
                  <c:v>MO</c:v>
                </c:pt>
                <c:pt idx="25">
                  <c:v>MT</c:v>
                </c:pt>
                <c:pt idx="26">
                  <c:v>NE</c:v>
                </c:pt>
                <c:pt idx="27">
                  <c:v>NV</c:v>
                </c:pt>
                <c:pt idx="28">
                  <c:v>NH</c:v>
                </c:pt>
                <c:pt idx="29">
                  <c:v>NJ</c:v>
                </c:pt>
                <c:pt idx="30">
                  <c:v>NM</c:v>
                </c:pt>
                <c:pt idx="31">
                  <c:v>NY</c:v>
                </c:pt>
                <c:pt idx="32">
                  <c:v>NC</c:v>
                </c:pt>
                <c:pt idx="33">
                  <c:v>ND</c:v>
                </c:pt>
                <c:pt idx="34">
                  <c:v>OH</c:v>
                </c:pt>
                <c:pt idx="35">
                  <c:v>OK</c:v>
                </c:pt>
                <c:pt idx="36">
                  <c:v>OR</c:v>
                </c:pt>
                <c:pt idx="37">
                  <c:v>PA</c:v>
                </c:pt>
                <c:pt idx="38">
                  <c:v>RI</c:v>
                </c:pt>
                <c:pt idx="39">
                  <c:v>SC</c:v>
                </c:pt>
                <c:pt idx="40">
                  <c:v>SD</c:v>
                </c:pt>
                <c:pt idx="41">
                  <c:v>TN</c:v>
                </c:pt>
                <c:pt idx="42">
                  <c:v>TX</c:v>
                </c:pt>
                <c:pt idx="43">
                  <c:v>UT</c:v>
                </c:pt>
                <c:pt idx="44">
                  <c:v>VT</c:v>
                </c:pt>
                <c:pt idx="45">
                  <c:v>VA</c:v>
                </c:pt>
                <c:pt idx="46">
                  <c:v>WA</c:v>
                </c:pt>
                <c:pt idx="47">
                  <c:v>WV</c:v>
                </c:pt>
                <c:pt idx="48">
                  <c:v>WI</c:v>
                </c:pt>
                <c:pt idx="49">
                  <c:v>WY</c:v>
                </c:pt>
              </c:strCache>
            </c:strRef>
          </c:cat>
          <c:val>
            <c:numRef>
              <c:f>'Cost Climate Change'!$F$40:$BC$40</c:f>
              <c:numCache>
                <c:formatCode>0%</c:formatCode>
                <c:ptCount val="50"/>
                <c:pt idx="0">
                  <c:v>0.0939067639578776</c:v>
                </c:pt>
                <c:pt idx="1">
                  <c:v>0.0052103457158102</c:v>
                </c:pt>
                <c:pt idx="2">
                  <c:v>0.0061223713555215</c:v>
                </c:pt>
                <c:pt idx="3">
                  <c:v>0.10703910756913</c:v>
                </c:pt>
                <c:pt idx="4">
                  <c:v>0.0343411114035414</c:v>
                </c:pt>
                <c:pt idx="5">
                  <c:v>0.00992882846264159</c:v>
                </c:pt>
                <c:pt idx="6">
                  <c:v>0.0515565123890997</c:v>
                </c:pt>
                <c:pt idx="7">
                  <c:v>0.0200208502714469</c:v>
                </c:pt>
                <c:pt idx="8">
                  <c:v>0.0662739560834845</c:v>
                </c:pt>
                <c:pt idx="9">
                  <c:v>0.0827791030801977</c:v>
                </c:pt>
                <c:pt idx="10">
                  <c:v>0.0350251385206757</c:v>
                </c:pt>
                <c:pt idx="11">
                  <c:v>0.126475336239422</c:v>
                </c:pt>
                <c:pt idx="12">
                  <c:v>0.0128606039987679</c:v>
                </c:pt>
                <c:pt idx="13">
                  <c:v>0.0121954149898853</c:v>
                </c:pt>
                <c:pt idx="14">
                  <c:v>0.0250972619798411</c:v>
                </c:pt>
                <c:pt idx="15">
                  <c:v>0.00669883428871785</c:v>
                </c:pt>
                <c:pt idx="16">
                  <c:v>0.0130864374333018</c:v>
                </c:pt>
                <c:pt idx="17">
                  <c:v>0.0340556681480071</c:v>
                </c:pt>
                <c:pt idx="18">
                  <c:v>0.349654853681561</c:v>
                </c:pt>
                <c:pt idx="19">
                  <c:v>0.035792355088726</c:v>
                </c:pt>
                <c:pt idx="20">
                  <c:v>0.0415703606546081</c:v>
                </c:pt>
                <c:pt idx="21">
                  <c:v>0.0421081171053257</c:v>
                </c:pt>
                <c:pt idx="22">
                  <c:v>0.0601489513775977</c:v>
                </c:pt>
                <c:pt idx="23">
                  <c:v>0.0704082680399343</c:v>
                </c:pt>
                <c:pt idx="24">
                  <c:v>0.0197298413850949</c:v>
                </c:pt>
                <c:pt idx="25">
                  <c:v>0.013373249428073</c:v>
                </c:pt>
                <c:pt idx="26">
                  <c:v>0.0123459844215644</c:v>
                </c:pt>
                <c:pt idx="27">
                  <c:v>0.00606734911511409</c:v>
                </c:pt>
                <c:pt idx="28">
                  <c:v>0.120107360100165</c:v>
                </c:pt>
                <c:pt idx="29">
                  <c:v>0.0212197529308231</c:v>
                </c:pt>
                <c:pt idx="30">
                  <c:v>0.0116724717769638</c:v>
                </c:pt>
                <c:pt idx="31">
                  <c:v>0.0328179341488481</c:v>
                </c:pt>
                <c:pt idx="32">
                  <c:v>0.0653011744018364</c:v>
                </c:pt>
                <c:pt idx="33">
                  <c:v>0.0039906169858485</c:v>
                </c:pt>
                <c:pt idx="34">
                  <c:v>0.0173714784081293</c:v>
                </c:pt>
                <c:pt idx="35">
                  <c:v>0.0205842413083548</c:v>
                </c:pt>
                <c:pt idx="36">
                  <c:v>0.0949095649545305</c:v>
                </c:pt>
                <c:pt idx="37">
                  <c:v>0.0287324295136117</c:v>
                </c:pt>
                <c:pt idx="38">
                  <c:v>0.0231048907306775</c:v>
                </c:pt>
                <c:pt idx="39">
                  <c:v>0.0898125568950503</c:v>
                </c:pt>
                <c:pt idx="40">
                  <c:v>0.010761994031018</c:v>
                </c:pt>
                <c:pt idx="41">
                  <c:v>0.0416088928350018</c:v>
                </c:pt>
                <c:pt idx="42">
                  <c:v>0.00905816674447118</c:v>
                </c:pt>
                <c:pt idx="43">
                  <c:v>0.00371897093188674</c:v>
                </c:pt>
                <c:pt idx="44">
                  <c:v>0.190292199951702</c:v>
                </c:pt>
                <c:pt idx="45">
                  <c:v>0.0699392127198164</c:v>
                </c:pt>
                <c:pt idx="46">
                  <c:v>0.106229570167441</c:v>
                </c:pt>
                <c:pt idx="47">
                  <c:v>0.0173545000714933</c:v>
                </c:pt>
                <c:pt idx="48">
                  <c:v>0.0742014361831001</c:v>
                </c:pt>
                <c:pt idx="49">
                  <c:v>0.00161228831043234</c:v>
                </c:pt>
              </c:numCache>
            </c:numRef>
          </c:val>
        </c:ser>
        <c:dLbls>
          <c:showLegendKey val="0"/>
          <c:showVal val="0"/>
          <c:showCatName val="0"/>
          <c:showSerName val="0"/>
          <c:showPercent val="0"/>
          <c:showBubbleSize val="0"/>
        </c:dLbls>
        <c:gapWidth val="150"/>
        <c:overlap val="100"/>
        <c:axId val="-871035792"/>
        <c:axId val="-871032528"/>
      </c:barChart>
      <c:catAx>
        <c:axId val="-87103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71032528"/>
        <c:crosses val="autoZero"/>
        <c:auto val="1"/>
        <c:lblAlgn val="ctr"/>
        <c:lblOffset val="100"/>
        <c:noMultiLvlLbl val="0"/>
      </c:catAx>
      <c:valAx>
        <c:axId val="-87103252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71035792"/>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CO2 Emissions (tonnes per capita)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'Cost Climate Change'!$D$81</c:f>
              <c:strCache>
                <c:ptCount val="1"/>
                <c:pt idx="0">
                  <c:v>CO2 from Coal</c:v>
                </c:pt>
              </c:strCache>
            </c:strRef>
          </c:tx>
          <c:spPr>
            <a:solidFill>
              <a:schemeClr val="accent1"/>
            </a:solidFill>
            <a:ln>
              <a:noFill/>
            </a:ln>
            <a:effectLst/>
          </c:spPr>
          <c:invertIfNegative val="0"/>
          <c:cat>
            <c:strRef>
              <c:f>'Cost Climate Change'!$E$79:$BC$79</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Climate Change'!$E$81:$BC$81</c:f>
              <c:numCache>
                <c:formatCode>_-* #,##0.0_-;\-* #,##0.0_-;_-* "-"??_-;_-@_-</c:formatCode>
                <c:ptCount val="51"/>
                <c:pt idx="0">
                  <c:v>6.166665896752483</c:v>
                </c:pt>
                <c:pt idx="1">
                  <c:v>13.21631272695839</c:v>
                </c:pt>
                <c:pt idx="2">
                  <c:v>2.088244374637361</c:v>
                </c:pt>
                <c:pt idx="3">
                  <c:v>6.934954174498227</c:v>
                </c:pt>
                <c:pt idx="4">
                  <c:v>10.15850306653175</c:v>
                </c:pt>
                <c:pt idx="5">
                  <c:v>0.143111030452023</c:v>
                </c:pt>
                <c:pt idx="6">
                  <c:v>7.031640907435683</c:v>
                </c:pt>
                <c:pt idx="7">
                  <c:v>0.165858191001688</c:v>
                </c:pt>
                <c:pt idx="8">
                  <c:v>1.92223225784766</c:v>
                </c:pt>
                <c:pt idx="9">
                  <c:v>2.824644590001175</c:v>
                </c:pt>
                <c:pt idx="10">
                  <c:v>6.309039103582588</c:v>
                </c:pt>
                <c:pt idx="11">
                  <c:v>1.13930552854994</c:v>
                </c:pt>
                <c:pt idx="12">
                  <c:v>0.48030136467131</c:v>
                </c:pt>
                <c:pt idx="13">
                  <c:v>7.979393904214482</c:v>
                </c:pt>
                <c:pt idx="14">
                  <c:v>19.95538213230161</c:v>
                </c:pt>
                <c:pt idx="15">
                  <c:v>14.73928687884391</c:v>
                </c:pt>
                <c:pt idx="16">
                  <c:v>11.77245763603745</c:v>
                </c:pt>
                <c:pt idx="17">
                  <c:v>22.56933694937087</c:v>
                </c:pt>
                <c:pt idx="18">
                  <c:v>5.755712331188087</c:v>
                </c:pt>
                <c:pt idx="19">
                  <c:v>0.110108163015301</c:v>
                </c:pt>
                <c:pt idx="20">
                  <c:v>4.028102251921887</c:v>
                </c:pt>
                <c:pt idx="21">
                  <c:v>0.634699493953612</c:v>
                </c:pt>
                <c:pt idx="22">
                  <c:v>6.82383928612159</c:v>
                </c:pt>
                <c:pt idx="23">
                  <c:v>5.755813668541819</c:v>
                </c:pt>
                <c:pt idx="24">
                  <c:v>3.521009254415765</c:v>
                </c:pt>
                <c:pt idx="25">
                  <c:v>13.39901388395775</c:v>
                </c:pt>
                <c:pt idx="26">
                  <c:v>16.1972431456939</c:v>
                </c:pt>
                <c:pt idx="27">
                  <c:v>15.10822263380765</c:v>
                </c:pt>
                <c:pt idx="28">
                  <c:v>2.24801066157591</c:v>
                </c:pt>
                <c:pt idx="29">
                  <c:v>1.813086293345687</c:v>
                </c:pt>
                <c:pt idx="30">
                  <c:v>0.547508015619643</c:v>
                </c:pt>
                <c:pt idx="31">
                  <c:v>13.35688797949318</c:v>
                </c:pt>
                <c:pt idx="32">
                  <c:v>0.626091674436621</c:v>
                </c:pt>
                <c:pt idx="33">
                  <c:v>6.313472174821883</c:v>
                </c:pt>
                <c:pt idx="34">
                  <c:v>56.22838968125129</c:v>
                </c:pt>
                <c:pt idx="35">
                  <c:v>10.33106008737626</c:v>
                </c:pt>
                <c:pt idx="36">
                  <c:v>9.749238766344103</c:v>
                </c:pt>
                <c:pt idx="37">
                  <c:v>0.88491007647298</c:v>
                </c:pt>
                <c:pt idx="38">
                  <c:v>9.282415632435881</c:v>
                </c:pt>
                <c:pt idx="39">
                  <c:v>0.0</c:v>
                </c:pt>
                <c:pt idx="40">
                  <c:v>7.641778028772949</c:v>
                </c:pt>
                <c:pt idx="41">
                  <c:v>3.800988766969851</c:v>
                </c:pt>
                <c:pt idx="42">
                  <c:v>7.331182612718987</c:v>
                </c:pt>
                <c:pt idx="43">
                  <c:v>6.449802425300344</c:v>
                </c:pt>
                <c:pt idx="44">
                  <c:v>11.99647409370984</c:v>
                </c:pt>
                <c:pt idx="45">
                  <c:v>0.0</c:v>
                </c:pt>
                <c:pt idx="46">
                  <c:v>3.469195963353291</c:v>
                </c:pt>
                <c:pt idx="47">
                  <c:v>0.814679316279137</c:v>
                </c:pt>
                <c:pt idx="48">
                  <c:v>43.24844842214816</c:v>
                </c:pt>
                <c:pt idx="49">
                  <c:v>7.641454180556278</c:v>
                </c:pt>
                <c:pt idx="50">
                  <c:v>80.39257108682203</c:v>
                </c:pt>
              </c:numCache>
            </c:numRef>
          </c:val>
        </c:ser>
        <c:ser>
          <c:idx val="1"/>
          <c:order val="1"/>
          <c:tx>
            <c:strRef>
              <c:f>'Cost Climate Change'!$D$82</c:f>
              <c:strCache>
                <c:ptCount val="1"/>
                <c:pt idx="0">
                  <c:v>CO2 from Natural Gas</c:v>
                </c:pt>
              </c:strCache>
            </c:strRef>
          </c:tx>
          <c:spPr>
            <a:solidFill>
              <a:schemeClr val="accent2"/>
            </a:solidFill>
            <a:ln>
              <a:noFill/>
            </a:ln>
            <a:effectLst/>
          </c:spPr>
          <c:invertIfNegative val="0"/>
          <c:cat>
            <c:strRef>
              <c:f>'Cost Climate Change'!$E$79:$BC$79</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Climate Change'!$E$82:$BC$82</c:f>
              <c:numCache>
                <c:formatCode>_-* #,##0.0_-;\-* #,##0.0_-;_-* "-"??_-;_-@_-</c:formatCode>
                <c:ptCount val="51"/>
                <c:pt idx="0">
                  <c:v>4.345524207000242</c:v>
                </c:pt>
                <c:pt idx="1">
                  <c:v>6.966360788369104</c:v>
                </c:pt>
                <c:pt idx="2">
                  <c:v>25.34091598209599</c:v>
                </c:pt>
                <c:pt idx="3">
                  <c:v>2.471877353782829</c:v>
                </c:pt>
                <c:pt idx="4">
                  <c:v>5.345711284503886</c:v>
                </c:pt>
                <c:pt idx="5">
                  <c:v>3.172793030733814</c:v>
                </c:pt>
                <c:pt idx="6">
                  <c:v>5.069366842809513</c:v>
                </c:pt>
                <c:pt idx="7">
                  <c:v>3.576921901861786</c:v>
                </c:pt>
                <c:pt idx="8">
                  <c:v>4.896859830047669</c:v>
                </c:pt>
                <c:pt idx="9">
                  <c:v>3.527332292630716</c:v>
                </c:pt>
                <c:pt idx="10">
                  <c:v>2.948859355048581</c:v>
                </c:pt>
                <c:pt idx="11">
                  <c:v>0.00789927276764367</c:v>
                </c:pt>
                <c:pt idx="12">
                  <c:v>2.883526618670694</c:v>
                </c:pt>
                <c:pt idx="13">
                  <c:v>4.175105527086369</c:v>
                </c:pt>
                <c:pt idx="14">
                  <c:v>5.30582440989308</c:v>
                </c:pt>
                <c:pt idx="15">
                  <c:v>4.93132855436365</c:v>
                </c:pt>
                <c:pt idx="16">
                  <c:v>5.39686530670091</c:v>
                </c:pt>
                <c:pt idx="17">
                  <c:v>2.849433452819378</c:v>
                </c:pt>
                <c:pt idx="18">
                  <c:v>17.87691530255318</c:v>
                </c:pt>
                <c:pt idx="19">
                  <c:v>3.031815465351543</c:v>
                </c:pt>
                <c:pt idx="20">
                  <c:v>1.855825889986458</c:v>
                </c:pt>
                <c:pt idx="21">
                  <c:v>3.799546651527174</c:v>
                </c:pt>
                <c:pt idx="22">
                  <c:v>4.338813017303882</c:v>
                </c:pt>
                <c:pt idx="23">
                  <c:v>4.326148747246039</c:v>
                </c:pt>
                <c:pt idx="24">
                  <c:v>8.025387453655921</c:v>
                </c:pt>
                <c:pt idx="25">
                  <c:v>2.490122307125464</c:v>
                </c:pt>
                <c:pt idx="26">
                  <c:v>4.337390341466641</c:v>
                </c:pt>
                <c:pt idx="27">
                  <c:v>5.132181557977977</c:v>
                </c:pt>
                <c:pt idx="28">
                  <c:v>5.128876221759482</c:v>
                </c:pt>
                <c:pt idx="29">
                  <c:v>2.973908984244278</c:v>
                </c:pt>
                <c:pt idx="30">
                  <c:v>4.173465076302469</c:v>
                </c:pt>
                <c:pt idx="31">
                  <c:v>6.596123374978472</c:v>
                </c:pt>
                <c:pt idx="32">
                  <c:v>3.480230517222777</c:v>
                </c:pt>
                <c:pt idx="33">
                  <c:v>1.75513135289096</c:v>
                </c:pt>
                <c:pt idx="34">
                  <c:v>5.739294175424247</c:v>
                </c:pt>
                <c:pt idx="35">
                  <c:v>3.988120358010353</c:v>
                </c:pt>
                <c:pt idx="36">
                  <c:v>9.736473040500634</c:v>
                </c:pt>
                <c:pt idx="37">
                  <c:v>2.866327689565431</c:v>
                </c:pt>
                <c:pt idx="38">
                  <c:v>4.265152437991743</c:v>
                </c:pt>
                <c:pt idx="39">
                  <c:v>5.310243555869436</c:v>
                </c:pt>
                <c:pt idx="40">
                  <c:v>2.742898747578823</c:v>
                </c:pt>
                <c:pt idx="41">
                  <c:v>4.890644099209196</c:v>
                </c:pt>
                <c:pt idx="42">
                  <c:v>2.199429203790689</c:v>
                </c:pt>
                <c:pt idx="43">
                  <c:v>7.978070853389881</c:v>
                </c:pt>
                <c:pt idx="44">
                  <c:v>4.459936199281751</c:v>
                </c:pt>
                <c:pt idx="45">
                  <c:v>0.755755634096828</c:v>
                </c:pt>
                <c:pt idx="46">
                  <c:v>2.57366772626766</c:v>
                </c:pt>
                <c:pt idx="47">
                  <c:v>2.171414539938126</c:v>
                </c:pt>
                <c:pt idx="48">
                  <c:v>3.665110313589676</c:v>
                </c:pt>
                <c:pt idx="49">
                  <c:v>3.805514248374254</c:v>
                </c:pt>
                <c:pt idx="50">
                  <c:v>15.52279248993577</c:v>
                </c:pt>
              </c:numCache>
            </c:numRef>
          </c:val>
        </c:ser>
        <c:ser>
          <c:idx val="2"/>
          <c:order val="2"/>
          <c:tx>
            <c:strRef>
              <c:f>'Cost Climate Change'!$D$83</c:f>
              <c:strCache>
                <c:ptCount val="1"/>
                <c:pt idx="0">
                  <c:v>CO2 from Petroleum</c:v>
                </c:pt>
              </c:strCache>
            </c:strRef>
          </c:tx>
          <c:spPr>
            <a:solidFill>
              <a:schemeClr val="accent3"/>
            </a:solidFill>
            <a:ln>
              <a:noFill/>
            </a:ln>
            <a:effectLst/>
          </c:spPr>
          <c:invertIfNegative val="0"/>
          <c:cat>
            <c:strRef>
              <c:f>'Cost Climate Change'!$E$79:$BC$79</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Climate Change'!$E$83:$BC$83</c:f>
              <c:numCache>
                <c:formatCode>_-* #,##0.0_-;\-* #,##0.0_-;_-* "-"??_-;_-@_-</c:formatCode>
                <c:ptCount val="51"/>
                <c:pt idx="0">
                  <c:v>8.279909542762483</c:v>
                </c:pt>
                <c:pt idx="1">
                  <c:v>8.30191987249799</c:v>
                </c:pt>
                <c:pt idx="2">
                  <c:v>26.77965839294891</c:v>
                </c:pt>
                <c:pt idx="3">
                  <c:v>5.620989065984879</c:v>
                </c:pt>
                <c:pt idx="4">
                  <c:v>8.290853676174427</c:v>
                </c:pt>
                <c:pt idx="5">
                  <c:v>6.559166289764924</c:v>
                </c:pt>
                <c:pt idx="6">
                  <c:v>6.708089765553323</c:v>
                </c:pt>
                <c:pt idx="7">
                  <c:v>6.385951363188119</c:v>
                </c:pt>
                <c:pt idx="8">
                  <c:v>8.111485479393526</c:v>
                </c:pt>
                <c:pt idx="9">
                  <c:v>6.130472718196616</c:v>
                </c:pt>
                <c:pt idx="10">
                  <c:v>7.371038959722637</c:v>
                </c:pt>
                <c:pt idx="11">
                  <c:v>12.9653397026258</c:v>
                </c:pt>
                <c:pt idx="12">
                  <c:v>7.391543005031115</c:v>
                </c:pt>
                <c:pt idx="13">
                  <c:v>6.779608366705671</c:v>
                </c:pt>
                <c:pt idx="14">
                  <c:v>8.50446582576481</c:v>
                </c:pt>
                <c:pt idx="15">
                  <c:v>10.00950743071123</c:v>
                </c:pt>
                <c:pt idx="16">
                  <c:v>10.06555201966565</c:v>
                </c:pt>
                <c:pt idx="17">
                  <c:v>10.22937468772428</c:v>
                </c:pt>
                <c:pt idx="18">
                  <c:v>30.27355959788107</c:v>
                </c:pt>
                <c:pt idx="19">
                  <c:v>10.40650173242286</c:v>
                </c:pt>
                <c:pt idx="20">
                  <c:v>5.94684539332677</c:v>
                </c:pt>
                <c:pt idx="21">
                  <c:v>6.261178350304971</c:v>
                </c:pt>
                <c:pt idx="22">
                  <c:v>5.857829268630602</c:v>
                </c:pt>
                <c:pt idx="23">
                  <c:v>8.222057760256158</c:v>
                </c:pt>
                <c:pt idx="24">
                  <c:v>9.96927401228632</c:v>
                </c:pt>
                <c:pt idx="25">
                  <c:v>7.753891214621306</c:v>
                </c:pt>
                <c:pt idx="26">
                  <c:v>12.50477819200194</c:v>
                </c:pt>
                <c:pt idx="27">
                  <c:v>9.24994227452104</c:v>
                </c:pt>
                <c:pt idx="28">
                  <c:v>5.539106274611878</c:v>
                </c:pt>
                <c:pt idx="29">
                  <c:v>8.178249706671766</c:v>
                </c:pt>
                <c:pt idx="30">
                  <c:v>8.995067923533518</c:v>
                </c:pt>
                <c:pt idx="31">
                  <c:v>8.801813962324058</c:v>
                </c:pt>
                <c:pt idx="32">
                  <c:v>4.6711955999872</c:v>
                </c:pt>
                <c:pt idx="33">
                  <c:v>5.886533089301813</c:v>
                </c:pt>
                <c:pt idx="34">
                  <c:v>19.45954590226947</c:v>
                </c:pt>
                <c:pt idx="35">
                  <c:v>7.272565742729381</c:v>
                </c:pt>
                <c:pt idx="36">
                  <c:v>10.17614141978556</c:v>
                </c:pt>
                <c:pt idx="37">
                  <c:v>6.360236208559524</c:v>
                </c:pt>
                <c:pt idx="38">
                  <c:v>6.955111385966106</c:v>
                </c:pt>
                <c:pt idx="39">
                  <c:v>5.477753677794423</c:v>
                </c:pt>
                <c:pt idx="40">
                  <c:v>7.500750715247397</c:v>
                </c:pt>
                <c:pt idx="41">
                  <c:v>10.25713465131442</c:v>
                </c:pt>
                <c:pt idx="42">
                  <c:v>7.836068985920936</c:v>
                </c:pt>
                <c:pt idx="43">
                  <c:v>16.5404088492277</c:v>
                </c:pt>
                <c:pt idx="44">
                  <c:v>7.359732820323861</c:v>
                </c:pt>
                <c:pt idx="45">
                  <c:v>8.953242990909554</c:v>
                </c:pt>
                <c:pt idx="46">
                  <c:v>6.80132441927727</c:v>
                </c:pt>
                <c:pt idx="47">
                  <c:v>7.701794113980882</c:v>
                </c:pt>
                <c:pt idx="48">
                  <c:v>7.367390147306497</c:v>
                </c:pt>
                <c:pt idx="49">
                  <c:v>6.614527771723321</c:v>
                </c:pt>
                <c:pt idx="50">
                  <c:v>21.11918450835102</c:v>
                </c:pt>
              </c:numCache>
            </c:numRef>
          </c:val>
        </c:ser>
        <c:ser>
          <c:idx val="3"/>
          <c:order val="3"/>
          <c:tx>
            <c:strRef>
              <c:f>'Cost Climate Change'!$D$84</c:f>
              <c:strCache>
                <c:ptCount val="1"/>
                <c:pt idx="0">
                  <c:v>CO2 from Wood and Waste</c:v>
                </c:pt>
              </c:strCache>
            </c:strRef>
          </c:tx>
          <c:spPr>
            <a:solidFill>
              <a:schemeClr val="accent4"/>
            </a:solidFill>
            <a:ln>
              <a:noFill/>
            </a:ln>
            <a:effectLst/>
          </c:spPr>
          <c:invertIfNegative val="0"/>
          <c:cat>
            <c:strRef>
              <c:f>'Cost Climate Change'!$E$79:$BC$79</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Climate Change'!$E$84:$BC$84</c:f>
              <c:numCache>
                <c:formatCode>_-* #,##0.0_-;\-* #,##0.0_-;_-* "-"??_-;_-@_-</c:formatCode>
                <c:ptCount val="51"/>
                <c:pt idx="0">
                  <c:v>0.710508077248413</c:v>
                </c:pt>
                <c:pt idx="1">
                  <c:v>2.952120026180504</c:v>
                </c:pt>
                <c:pt idx="2">
                  <c:v>0.283926039354295</c:v>
                </c:pt>
                <c:pt idx="3">
                  <c:v>0.0925726625598103</c:v>
                </c:pt>
                <c:pt idx="4">
                  <c:v>2.852311750457193</c:v>
                </c:pt>
                <c:pt idx="5">
                  <c:v>0.351180831082812</c:v>
                </c:pt>
                <c:pt idx="6">
                  <c:v>0.188625129324266</c:v>
                </c:pt>
                <c:pt idx="7">
                  <c:v>0.550588491165877</c:v>
                </c:pt>
                <c:pt idx="8">
                  <c:v>0.305029814178918</c:v>
                </c:pt>
                <c:pt idx="9">
                  <c:v>0.885978625153978</c:v>
                </c:pt>
                <c:pt idx="10">
                  <c:v>1.500760099656151</c:v>
                </c:pt>
                <c:pt idx="11">
                  <c:v>0.51223492534516</c:v>
                </c:pt>
                <c:pt idx="12">
                  <c:v>1.557241848533601</c:v>
                </c:pt>
                <c:pt idx="13">
                  <c:v>0.24667647086779</c:v>
                </c:pt>
                <c:pt idx="14">
                  <c:v>0.416870293161835</c:v>
                </c:pt>
                <c:pt idx="15">
                  <c:v>0.764065778112769</c:v>
                </c:pt>
                <c:pt idx="16">
                  <c:v>0.183672304578896</c:v>
                </c:pt>
                <c:pt idx="17">
                  <c:v>0.472693088865017</c:v>
                </c:pt>
                <c:pt idx="18">
                  <c:v>1.900535220248861</c:v>
                </c:pt>
                <c:pt idx="19">
                  <c:v>7.284243934101541</c:v>
                </c:pt>
                <c:pt idx="20">
                  <c:v>0.439170182462516</c:v>
                </c:pt>
                <c:pt idx="21">
                  <c:v>0.463897020075063</c:v>
                </c:pt>
                <c:pt idx="22">
                  <c:v>0.74820597608507</c:v>
                </c:pt>
                <c:pt idx="23">
                  <c:v>1.171427771663601</c:v>
                </c:pt>
                <c:pt idx="24">
                  <c:v>1.629619820244927</c:v>
                </c:pt>
                <c:pt idx="25">
                  <c:v>0.475861859588909</c:v>
                </c:pt>
                <c:pt idx="26">
                  <c:v>0.447833279491053</c:v>
                </c:pt>
                <c:pt idx="27">
                  <c:v>0.36863856402824</c:v>
                </c:pt>
                <c:pt idx="28">
                  <c:v>0.0788442150360217</c:v>
                </c:pt>
                <c:pt idx="29">
                  <c:v>1.769785627811204</c:v>
                </c:pt>
                <c:pt idx="30">
                  <c:v>0.297360926937908</c:v>
                </c:pt>
                <c:pt idx="31">
                  <c:v>0.339603903945977</c:v>
                </c:pt>
                <c:pt idx="32">
                  <c:v>0.297834307569691</c:v>
                </c:pt>
                <c:pt idx="33">
                  <c:v>0.974952343013747</c:v>
                </c:pt>
                <c:pt idx="34">
                  <c:v>0.326246812257207</c:v>
                </c:pt>
                <c:pt idx="35">
                  <c:v>0.381711444822536</c:v>
                </c:pt>
                <c:pt idx="36">
                  <c:v>0.623398938654598</c:v>
                </c:pt>
                <c:pt idx="37">
                  <c:v>1.060309068374959</c:v>
                </c:pt>
                <c:pt idx="38">
                  <c:v>0.606518543624393</c:v>
                </c:pt>
                <c:pt idx="39">
                  <c:v>0.255150726952751</c:v>
                </c:pt>
                <c:pt idx="40">
                  <c:v>1.764840842784873</c:v>
                </c:pt>
                <c:pt idx="41">
                  <c:v>0.206145054767343</c:v>
                </c:pt>
                <c:pt idx="42">
                  <c:v>0.753980660928246</c:v>
                </c:pt>
                <c:pt idx="43">
                  <c:v>0.283080049595779</c:v>
                </c:pt>
                <c:pt idx="44">
                  <c:v>0.0889021685286142</c:v>
                </c:pt>
                <c:pt idx="45">
                  <c:v>2.281744979572034</c:v>
                </c:pt>
                <c:pt idx="46">
                  <c:v>0.965864185058852</c:v>
                </c:pt>
                <c:pt idx="47">
                  <c:v>1.270314733152022</c:v>
                </c:pt>
                <c:pt idx="48">
                  <c:v>0.958655722068696</c:v>
                </c:pt>
                <c:pt idx="49">
                  <c:v>1.447603193699897</c:v>
                </c:pt>
                <c:pt idx="50">
                  <c:v>0.188998153307623</c:v>
                </c:pt>
              </c:numCache>
            </c:numRef>
          </c:val>
        </c:ser>
        <c:dLbls>
          <c:showLegendKey val="0"/>
          <c:showVal val="0"/>
          <c:showCatName val="0"/>
          <c:showSerName val="0"/>
          <c:showPercent val="0"/>
          <c:showBubbleSize val="0"/>
        </c:dLbls>
        <c:gapWidth val="150"/>
        <c:overlap val="100"/>
        <c:axId val="-871617168"/>
        <c:axId val="-871614176"/>
      </c:barChart>
      <c:catAx>
        <c:axId val="-87161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614176"/>
        <c:crosses val="autoZero"/>
        <c:auto val="1"/>
        <c:lblAlgn val="ctr"/>
        <c:lblOffset val="100"/>
        <c:noMultiLvlLbl val="0"/>
      </c:catAx>
      <c:valAx>
        <c:axId val="-871614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617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Energy Inside</a:t>
            </a:r>
            <a:r>
              <a:rPr lang="en-US" baseline="0"/>
              <a:t> Electricity Sector (per capita)</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'Cost Nonrenewable Depletion'!$B$43</c:f>
              <c:strCache>
                <c:ptCount val="1"/>
                <c:pt idx="0">
                  <c:v>Electricity from Hydroelectric Energy (Million BTU) </c:v>
                </c:pt>
              </c:strCache>
            </c:strRef>
          </c:tx>
          <c:spPr>
            <a:solidFill>
              <a:schemeClr val="accent1"/>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Depletion'!$C$43:$BA$43</c:f>
              <c:numCache>
                <c:formatCode>_(* #,##0_);_(* \(#,##0\);_(* "-"??_);_(@_)</c:formatCode>
                <c:ptCount val="51"/>
                <c:pt idx="1">
                  <c:v>17.96535953930406</c:v>
                </c:pt>
                <c:pt idx="2">
                  <c:v>18.09742215345508</c:v>
                </c:pt>
                <c:pt idx="3">
                  <c:v>13.77696926777186</c:v>
                </c:pt>
                <c:pt idx="4">
                  <c:v>9.766615326712</c:v>
                </c:pt>
                <c:pt idx="5">
                  <c:v>10.9701925221022</c:v>
                </c:pt>
                <c:pt idx="6">
                  <c:v>3.948164123228065</c:v>
                </c:pt>
                <c:pt idx="7">
                  <c:v>1.533435729665876</c:v>
                </c:pt>
                <c:pt idx="8">
                  <c:v>0.0</c:v>
                </c:pt>
                <c:pt idx="9">
                  <c:v>0.0943284396786921</c:v>
                </c:pt>
                <c:pt idx="10">
                  <c:v>2.659883454301979</c:v>
                </c:pt>
                <c:pt idx="11">
                  <c:v>0.290248590661687</c:v>
                </c:pt>
                <c:pt idx="12">
                  <c:v>82.2102562030227</c:v>
                </c:pt>
                <c:pt idx="13">
                  <c:v>0.108866796187049</c:v>
                </c:pt>
                <c:pt idx="14">
                  <c:v>0.613840287657836</c:v>
                </c:pt>
                <c:pt idx="15">
                  <c:v>2.937243827463687</c:v>
                </c:pt>
                <c:pt idx="16">
                  <c:v>0.034838519976059</c:v>
                </c:pt>
                <c:pt idx="17">
                  <c:v>6.595197322349888</c:v>
                </c:pt>
                <c:pt idx="18">
                  <c:v>2.207763194882536</c:v>
                </c:pt>
                <c:pt idx="19">
                  <c:v>23.63489654840186</c:v>
                </c:pt>
                <c:pt idx="20">
                  <c:v>4.22976204420461</c:v>
                </c:pt>
                <c:pt idx="21">
                  <c:v>1.664900106750368</c:v>
                </c:pt>
                <c:pt idx="22">
                  <c:v>1.306090909394651</c:v>
                </c:pt>
                <c:pt idx="23">
                  <c:v>1.140762841202633</c:v>
                </c:pt>
                <c:pt idx="24">
                  <c:v>0.0</c:v>
                </c:pt>
                <c:pt idx="25">
                  <c:v>1.913801068533383</c:v>
                </c:pt>
                <c:pt idx="26">
                  <c:v>122.6862269675152</c:v>
                </c:pt>
                <c:pt idx="27">
                  <c:v>8.522261558520796</c:v>
                </c:pt>
                <c:pt idx="28">
                  <c:v>7.830801741746776</c:v>
                </c:pt>
                <c:pt idx="29">
                  <c:v>11.76196514360601</c:v>
                </c:pt>
                <c:pt idx="30">
                  <c:v>0.0226378198964478</c:v>
                </c:pt>
                <c:pt idx="31">
                  <c:v>0.9140442416656</c:v>
                </c:pt>
                <c:pt idx="32">
                  <c:v>13.90653984777467</c:v>
                </c:pt>
                <c:pt idx="33">
                  <c:v>3.906289260408888</c:v>
                </c:pt>
                <c:pt idx="34">
                  <c:v>36.6562490872448</c:v>
                </c:pt>
                <c:pt idx="35">
                  <c:v>0.320595941064761</c:v>
                </c:pt>
                <c:pt idx="36">
                  <c:v>3.858184755783511</c:v>
                </c:pt>
                <c:pt idx="37">
                  <c:v>106.2760245063051</c:v>
                </c:pt>
                <c:pt idx="38">
                  <c:v>2.456067774287842</c:v>
                </c:pt>
                <c:pt idx="39">
                  <c:v>0.0951795371609467</c:v>
                </c:pt>
                <c:pt idx="40">
                  <c:v>3.231088290450443</c:v>
                </c:pt>
                <c:pt idx="41">
                  <c:v>77.951123916789</c:v>
                </c:pt>
                <c:pt idx="42">
                  <c:v>14.53173363426001</c:v>
                </c:pt>
                <c:pt idx="43">
                  <c:v>0.214577389051981</c:v>
                </c:pt>
                <c:pt idx="44">
                  <c:v>4.263866538134779</c:v>
                </c:pt>
                <c:pt idx="45">
                  <c:v>21.70471375312803</c:v>
                </c:pt>
                <c:pt idx="46">
                  <c:v>1.443663084078938</c:v>
                </c:pt>
                <c:pt idx="47">
                  <c:v>130.7438211050513</c:v>
                </c:pt>
                <c:pt idx="48">
                  <c:v>4.690259570825075</c:v>
                </c:pt>
                <c:pt idx="49">
                  <c:v>3.39764158138849</c:v>
                </c:pt>
                <c:pt idx="50">
                  <c:v>20.97448515570471</c:v>
                </c:pt>
              </c:numCache>
            </c:numRef>
          </c:val>
        </c:ser>
        <c:ser>
          <c:idx val="1"/>
          <c:order val="1"/>
          <c:tx>
            <c:strRef>
              <c:f>'Cost Nonrenewable Depletion'!$B$44</c:f>
              <c:strCache>
                <c:ptCount val="1"/>
                <c:pt idx="0">
                  <c:v>Electricity from Solar/PV (Million BTU) </c:v>
                </c:pt>
              </c:strCache>
            </c:strRef>
          </c:tx>
          <c:spPr>
            <a:solidFill>
              <a:schemeClr val="accent2"/>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Depletion'!$C$44:$BA$44</c:f>
              <c:numCache>
                <c:formatCode>_(* #,##0_);_(* \(#,##0\);_(* "-"??_);_(@_)</c:formatCode>
                <c:ptCount val="51"/>
                <c:pt idx="1">
                  <c:v>0.0</c:v>
                </c:pt>
                <c:pt idx="2">
                  <c:v>0.0</c:v>
                </c:pt>
                <c:pt idx="3">
                  <c:v>0.123698938431173</c:v>
                </c:pt>
                <c:pt idx="4">
                  <c:v>0.0</c:v>
                </c:pt>
                <c:pt idx="5">
                  <c:v>0.222906669534732</c:v>
                </c:pt>
                <c:pt idx="6">
                  <c:v>0.175908302520062</c:v>
                </c:pt>
                <c:pt idx="7">
                  <c:v>0.0</c:v>
                </c:pt>
                <c:pt idx="8">
                  <c:v>0.110115544240572</c:v>
                </c:pt>
                <c:pt idx="9">
                  <c:v>0.0628856264524614</c:v>
                </c:pt>
                <c:pt idx="10">
                  <c:v>0.0</c:v>
                </c:pt>
                <c:pt idx="11">
                  <c:v>0.0</c:v>
                </c:pt>
                <c:pt idx="12">
                  <c:v>0.0</c:v>
                </c:pt>
                <c:pt idx="13">
                  <c:v>0.00777619972764638</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0.91910818565103</c:v>
                </c:pt>
                <c:pt idx="29">
                  <c:v>0.0</c:v>
                </c:pt>
                <c:pt idx="30">
                  <c:v>0.0679134596893435</c:v>
                </c:pt>
                <c:pt idx="31">
                  <c:v>0.577291099999326</c:v>
                </c:pt>
                <c:pt idx="32">
                  <c:v>0.00512778017985791</c:v>
                </c:pt>
                <c:pt idx="33">
                  <c:v>0.0207230199491188</c:v>
                </c:pt>
                <c:pt idx="34">
                  <c:v>0.0</c:v>
                </c:pt>
                <c:pt idx="35">
                  <c:v>0.0173295103278249</c:v>
                </c:pt>
                <c:pt idx="36">
                  <c:v>0.0</c:v>
                </c:pt>
                <c:pt idx="37">
                  <c:v>0.0</c:v>
                </c:pt>
                <c:pt idx="38">
                  <c:v>0.0156937237973664</c:v>
                </c:pt>
                <c:pt idx="39">
                  <c:v>0.0</c:v>
                </c:pt>
                <c:pt idx="40">
                  <c:v>0.0</c:v>
                </c:pt>
                <c:pt idx="41">
                  <c:v>0.0</c:v>
                </c:pt>
                <c:pt idx="42">
                  <c:v>0.0</c:v>
                </c:pt>
                <c:pt idx="43">
                  <c:v>0.0117042212210171</c:v>
                </c:pt>
                <c:pt idx="44">
                  <c:v>0.0</c:v>
                </c:pt>
                <c:pt idx="45">
                  <c:v>0.0</c:v>
                </c:pt>
                <c:pt idx="46">
                  <c:v>0.0</c:v>
                </c:pt>
                <c:pt idx="47">
                  <c:v>0.0</c:v>
                </c:pt>
                <c:pt idx="48">
                  <c:v>0.0</c:v>
                </c:pt>
                <c:pt idx="49">
                  <c:v>0.0</c:v>
                </c:pt>
                <c:pt idx="50">
                  <c:v>0.0</c:v>
                </c:pt>
              </c:numCache>
            </c:numRef>
          </c:val>
        </c:ser>
        <c:ser>
          <c:idx val="2"/>
          <c:order val="2"/>
          <c:tx>
            <c:strRef>
              <c:f>'Cost Nonrenewable Depletion'!$B$45</c:f>
              <c:strCache>
                <c:ptCount val="1"/>
                <c:pt idx="0">
                  <c:v>Electricity from Wind (Million BTU) </c:v>
                </c:pt>
              </c:strCache>
            </c:strRef>
          </c:tx>
          <c:spPr>
            <a:solidFill>
              <a:schemeClr val="accent3"/>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Depletion'!$C$45:$BA$45</c:f>
              <c:numCache>
                <c:formatCode>_(* #,##0_);_(* \(#,##0\);_(* "-"??_);_(@_)</c:formatCode>
                <c:ptCount val="51"/>
                <c:pt idx="1">
                  <c:v>0.0</c:v>
                </c:pt>
                <c:pt idx="2">
                  <c:v>0.138148260713398</c:v>
                </c:pt>
                <c:pt idx="3">
                  <c:v>0.386559182597415</c:v>
                </c:pt>
                <c:pt idx="4">
                  <c:v>0.0</c:v>
                </c:pt>
                <c:pt idx="5">
                  <c:v>1.998199073329209</c:v>
                </c:pt>
                <c:pt idx="6">
                  <c:v>9.85086494112349</c:v>
                </c:pt>
                <c:pt idx="7">
                  <c:v>0.0</c:v>
                </c:pt>
                <c:pt idx="8">
                  <c:v>0.0</c:v>
                </c:pt>
                <c:pt idx="9">
                  <c:v>0.0</c:v>
                </c:pt>
                <c:pt idx="10">
                  <c:v>0.0</c:v>
                </c:pt>
                <c:pt idx="11">
                  <c:v>2.394550872958917</c:v>
                </c:pt>
                <c:pt idx="12">
                  <c:v>8.018972763274872</c:v>
                </c:pt>
                <c:pt idx="13">
                  <c:v>4.696824635498414</c:v>
                </c:pt>
                <c:pt idx="14">
                  <c:v>4.895376294071238</c:v>
                </c:pt>
                <c:pt idx="15">
                  <c:v>33.94148422846927</c:v>
                </c:pt>
                <c:pt idx="16">
                  <c:v>12.57670571135729</c:v>
                </c:pt>
                <c:pt idx="17">
                  <c:v>0.0</c:v>
                </c:pt>
                <c:pt idx="18">
                  <c:v>0.0</c:v>
                </c:pt>
                <c:pt idx="19">
                  <c:v>5.193655610954549</c:v>
                </c:pt>
                <c:pt idx="20">
                  <c:v>0.445238109916275</c:v>
                </c:pt>
                <c:pt idx="21">
                  <c:v>0.0756772775795622</c:v>
                </c:pt>
                <c:pt idx="22">
                  <c:v>0.445488372196625</c:v>
                </c:pt>
                <c:pt idx="23">
                  <c:v>12.17437064955597</c:v>
                </c:pt>
                <c:pt idx="24">
                  <c:v>0.0</c:v>
                </c:pt>
                <c:pt idx="25">
                  <c:v>1.897159320111353</c:v>
                </c:pt>
                <c:pt idx="26">
                  <c:v>12.32876300408854</c:v>
                </c:pt>
                <c:pt idx="27">
                  <c:v>5.536755917000772</c:v>
                </c:pt>
                <c:pt idx="28">
                  <c:v>0.0</c:v>
                </c:pt>
                <c:pt idx="29">
                  <c:v>0.455301876526684</c:v>
                </c:pt>
                <c:pt idx="30">
                  <c:v>0.0113189099482239</c:v>
                </c:pt>
                <c:pt idx="31">
                  <c:v>9.81394869998855</c:v>
                </c:pt>
                <c:pt idx="32">
                  <c:v>1.410139549460927</c:v>
                </c:pt>
                <c:pt idx="33">
                  <c:v>0.0</c:v>
                </c:pt>
                <c:pt idx="34">
                  <c:v>74.33478400560795</c:v>
                </c:pt>
                <c:pt idx="35">
                  <c:v>0.164630348114337</c:v>
                </c:pt>
                <c:pt idx="36">
                  <c:v>14.40212802672612</c:v>
                </c:pt>
                <c:pt idx="37">
                  <c:v>11.99515333761264</c:v>
                </c:pt>
                <c:pt idx="38">
                  <c:v>1.365353970370877</c:v>
                </c:pt>
                <c:pt idx="39">
                  <c:v>0.0</c:v>
                </c:pt>
                <c:pt idx="40">
                  <c:v>0.0</c:v>
                </c:pt>
                <c:pt idx="41">
                  <c:v>31.44757179820616</c:v>
                </c:pt>
                <c:pt idx="42">
                  <c:v>0.0781276001841936</c:v>
                </c:pt>
                <c:pt idx="43">
                  <c:v>11.57937619465961</c:v>
                </c:pt>
                <c:pt idx="44">
                  <c:v>1.989804384462896</c:v>
                </c:pt>
                <c:pt idx="45">
                  <c:v>0.478780450436648</c:v>
                </c:pt>
                <c:pt idx="46">
                  <c:v>0.0</c:v>
                </c:pt>
                <c:pt idx="47">
                  <c:v>8.91068750497379</c:v>
                </c:pt>
                <c:pt idx="48">
                  <c:v>5.768480161819347</c:v>
                </c:pt>
                <c:pt idx="49">
                  <c:v>2.01406588587462</c:v>
                </c:pt>
                <c:pt idx="50">
                  <c:v>78.96276764500595</c:v>
                </c:pt>
              </c:numCache>
            </c:numRef>
          </c:val>
        </c:ser>
        <c:ser>
          <c:idx val="3"/>
          <c:order val="3"/>
          <c:tx>
            <c:strRef>
              <c:f>'Cost Nonrenewable Depletion'!$B$46</c:f>
              <c:strCache>
                <c:ptCount val="1"/>
                <c:pt idx="0">
                  <c:v>Non-Renewable Electricity Consumed (Million BTU)</c:v>
                </c:pt>
              </c:strCache>
            </c:strRef>
          </c:tx>
          <c:spPr>
            <a:solidFill>
              <a:schemeClr val="accent4"/>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Depletion'!$C$46:$BA$46</c:f>
              <c:numCache>
                <c:formatCode>_(* #,##0_);_(* \(#,##0\);_(* "-"??_);_(@_)</c:formatCode>
                <c:ptCount val="51"/>
                <c:pt idx="1">
                  <c:v>281.6585336810938</c:v>
                </c:pt>
                <c:pt idx="2">
                  <c:v>73.35672643881412</c:v>
                </c:pt>
                <c:pt idx="3">
                  <c:v>149.2891563191216</c:v>
                </c:pt>
                <c:pt idx="4">
                  <c:v>190.6361639729638</c:v>
                </c:pt>
                <c:pt idx="5">
                  <c:v>33.32985439709809</c:v>
                </c:pt>
                <c:pt idx="6">
                  <c:v>88.07142346171123</c:v>
                </c:pt>
                <c:pt idx="7">
                  <c:v>85.2032652701621</c:v>
                </c:pt>
                <c:pt idx="8">
                  <c:v>65.84909545586183</c:v>
                </c:pt>
                <c:pt idx="9">
                  <c:v>100.3969026313547</c:v>
                </c:pt>
                <c:pt idx="10">
                  <c:v>116.8820051240973</c:v>
                </c:pt>
                <c:pt idx="11">
                  <c:v>69.15172672514691</c:v>
                </c:pt>
                <c:pt idx="12">
                  <c:v>6.756142406853636</c:v>
                </c:pt>
                <c:pt idx="13">
                  <c:v>155.3606943586471</c:v>
                </c:pt>
                <c:pt idx="14">
                  <c:v>182.8937137076521</c:v>
                </c:pt>
                <c:pt idx="15">
                  <c:v>148.1023609892245</c:v>
                </c:pt>
                <c:pt idx="16">
                  <c:v>157.9230110514753</c:v>
                </c:pt>
                <c:pt idx="17">
                  <c:v>228.5190072212831</c:v>
                </c:pt>
                <c:pt idx="18">
                  <c:v>173.5607897759142</c:v>
                </c:pt>
                <c:pt idx="19">
                  <c:v>56.528048751114</c:v>
                </c:pt>
                <c:pt idx="20">
                  <c:v>68.78928798206444</c:v>
                </c:pt>
                <c:pt idx="21">
                  <c:v>49.11455314913585</c:v>
                </c:pt>
                <c:pt idx="22">
                  <c:v>113.3059175739189</c:v>
                </c:pt>
                <c:pt idx="23">
                  <c:v>91.990367473373</c:v>
                </c:pt>
                <c:pt idx="24">
                  <c:v>154.0576404629857</c:v>
                </c:pt>
                <c:pt idx="25">
                  <c:v>157.846983782949</c:v>
                </c:pt>
                <c:pt idx="26">
                  <c:v>176.2111004974606</c:v>
                </c:pt>
                <c:pt idx="27">
                  <c:v>186.8383712383986</c:v>
                </c:pt>
                <c:pt idx="28">
                  <c:v>91.35935365371238</c:v>
                </c:pt>
                <c:pt idx="29">
                  <c:v>136.9699811884441</c:v>
                </c:pt>
                <c:pt idx="30">
                  <c:v>69.95086348002375</c:v>
                </c:pt>
                <c:pt idx="31">
                  <c:v>173.1392224081314</c:v>
                </c:pt>
                <c:pt idx="32">
                  <c:v>54.63137003620623</c:v>
                </c:pt>
                <c:pt idx="33">
                  <c:v>117.3648234818341</c:v>
                </c:pt>
                <c:pt idx="34">
                  <c:v>445.8626632006309</c:v>
                </c:pt>
                <c:pt idx="35">
                  <c:v>119.001747421174</c:v>
                </c:pt>
                <c:pt idx="36">
                  <c:v>169.2051848717933</c:v>
                </c:pt>
                <c:pt idx="37">
                  <c:v>26.00673331387567</c:v>
                </c:pt>
                <c:pt idx="38">
                  <c:v>170.7163274677517</c:v>
                </c:pt>
                <c:pt idx="39">
                  <c:v>65.76906017821417</c:v>
                </c:pt>
                <c:pt idx="40">
                  <c:v>216.0549567462128</c:v>
                </c:pt>
                <c:pt idx="41">
                  <c:v>37.27569321254551</c:v>
                </c:pt>
                <c:pt idx="42">
                  <c:v>113.0037609064177</c:v>
                </c:pt>
                <c:pt idx="43">
                  <c:v>139.9902886175122</c:v>
                </c:pt>
                <c:pt idx="44">
                  <c:v>134.5960537204545</c:v>
                </c:pt>
                <c:pt idx="45">
                  <c:v>104.693325162147</c:v>
                </c:pt>
                <c:pt idx="46">
                  <c:v>80.22818267248935</c:v>
                </c:pt>
                <c:pt idx="47">
                  <c:v>19.36022729287891</c:v>
                </c:pt>
                <c:pt idx="48">
                  <c:v>411.9341767893609</c:v>
                </c:pt>
                <c:pt idx="49">
                  <c:v>105.0116439278628</c:v>
                </c:pt>
                <c:pt idx="50">
                  <c:v>767.7719104054598</c:v>
                </c:pt>
              </c:numCache>
            </c:numRef>
          </c:val>
        </c:ser>
        <c:dLbls>
          <c:showLegendKey val="0"/>
          <c:showVal val="0"/>
          <c:showCatName val="0"/>
          <c:showSerName val="0"/>
          <c:showPercent val="0"/>
          <c:showBubbleSize val="0"/>
        </c:dLbls>
        <c:gapWidth val="150"/>
        <c:overlap val="100"/>
        <c:axId val="-870983728"/>
        <c:axId val="-870980464"/>
      </c:barChart>
      <c:catAx>
        <c:axId val="-87098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980464"/>
        <c:crosses val="autoZero"/>
        <c:auto val="1"/>
        <c:lblAlgn val="ctr"/>
        <c:lblOffset val="100"/>
        <c:noMultiLvlLbl val="0"/>
      </c:catAx>
      <c:valAx>
        <c:axId val="-870980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983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Energy Outside</a:t>
            </a:r>
            <a:r>
              <a:rPr lang="en-US" baseline="0"/>
              <a:t> Electricity Sector (per capita)</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'Cost Nonrenewable Depletion'!$B$37</c:f>
              <c:strCache>
                <c:ptCount val="1"/>
                <c:pt idx="0">
                  <c:v>Coal consumed outside the Electrical Sector (Barrel Equivalent)</c:v>
                </c:pt>
              </c:strCache>
            </c:strRef>
          </c:tx>
          <c:spPr>
            <a:solidFill>
              <a:schemeClr val="accent1"/>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Depletion'!$C$37:$BA$37</c:f>
              <c:numCache>
                <c:formatCode>_(* #,##0_);_(* \(#,##0\);_(* "-"??_);_(@_)</c:formatCode>
                <c:ptCount val="51"/>
                <c:pt idx="1">
                  <c:v>2.32938792923809</c:v>
                </c:pt>
                <c:pt idx="2">
                  <c:v>2.262773235822892</c:v>
                </c:pt>
                <c:pt idx="3">
                  <c:v>0.266592539722355</c:v>
                </c:pt>
                <c:pt idx="4">
                  <c:v>0.32856569644111</c:v>
                </c:pt>
                <c:pt idx="5">
                  <c:v>0.162879257706003</c:v>
                </c:pt>
                <c:pt idx="6">
                  <c:v>0.219042905436859</c:v>
                </c:pt>
                <c:pt idx="7">
                  <c:v>0.0</c:v>
                </c:pt>
                <c:pt idx="8">
                  <c:v>0.0</c:v>
                </c:pt>
                <c:pt idx="9">
                  <c:v>0.113844668577732</c:v>
                </c:pt>
                <c:pt idx="10">
                  <c:v>0.51834166932163</c:v>
                </c:pt>
                <c:pt idx="11">
                  <c:v>0.162639296491463</c:v>
                </c:pt>
                <c:pt idx="12">
                  <c:v>0.849144550007385</c:v>
                </c:pt>
                <c:pt idx="13">
                  <c:v>1.527084739618832</c:v>
                </c:pt>
                <c:pt idx="14">
                  <c:v>6.384468164303264</c:v>
                </c:pt>
                <c:pt idx="15">
                  <c:v>4.27644695186284</c:v>
                </c:pt>
                <c:pt idx="16">
                  <c:v>0.150166034379565</c:v>
                </c:pt>
                <c:pt idx="17">
                  <c:v>1.934654386944112</c:v>
                </c:pt>
                <c:pt idx="18">
                  <c:v>0.0489944034371338</c:v>
                </c:pt>
                <c:pt idx="19">
                  <c:v>0.0648882510114261</c:v>
                </c:pt>
                <c:pt idx="20">
                  <c:v>0.658409141321812</c:v>
                </c:pt>
                <c:pt idx="21">
                  <c:v>0.0443625420293985</c:v>
                </c:pt>
                <c:pt idx="22">
                  <c:v>1.234170372817453</c:v>
                </c:pt>
                <c:pt idx="23">
                  <c:v>0.818976149421902</c:v>
                </c:pt>
                <c:pt idx="24">
                  <c:v>0.150556619984425</c:v>
                </c:pt>
                <c:pt idx="25">
                  <c:v>0.436128579335943</c:v>
                </c:pt>
                <c:pt idx="26">
                  <c:v>0.259225462659557</c:v>
                </c:pt>
                <c:pt idx="27">
                  <c:v>1.787559804170297</c:v>
                </c:pt>
                <c:pt idx="28">
                  <c:v>0.158466928560522</c:v>
                </c:pt>
                <c:pt idx="29">
                  <c:v>0.0</c:v>
                </c:pt>
                <c:pt idx="30">
                  <c:v>0.0</c:v>
                </c:pt>
                <c:pt idx="31">
                  <c:v>0.0414720617815608</c:v>
                </c:pt>
                <c:pt idx="32">
                  <c:v>0.229866008062596</c:v>
                </c:pt>
                <c:pt idx="33">
                  <c:v>0.430538604115312</c:v>
                </c:pt>
                <c:pt idx="34">
                  <c:v>23.74422509223234</c:v>
                </c:pt>
                <c:pt idx="35">
                  <c:v>1.791214041643285</c:v>
                </c:pt>
                <c:pt idx="36">
                  <c:v>0.537630846932516</c:v>
                </c:pt>
                <c:pt idx="37">
                  <c:v>0.0802291766041273</c:v>
                </c:pt>
                <c:pt idx="38">
                  <c:v>2.497466735339516</c:v>
                </c:pt>
                <c:pt idx="39">
                  <c:v>0.0</c:v>
                </c:pt>
                <c:pt idx="40">
                  <c:v>0.859606727192228</c:v>
                </c:pt>
                <c:pt idx="41">
                  <c:v>0.648964668981754</c:v>
                </c:pt>
                <c:pt idx="42">
                  <c:v>1.85081590781176</c:v>
                </c:pt>
                <c:pt idx="43">
                  <c:v>0.132513309226458</c:v>
                </c:pt>
                <c:pt idx="44">
                  <c:v>0.845421813595689</c:v>
                </c:pt>
                <c:pt idx="45">
                  <c:v>0.0</c:v>
                </c:pt>
                <c:pt idx="46">
                  <c:v>1.546629917661933</c:v>
                </c:pt>
                <c:pt idx="47">
                  <c:v>0.048010169746626</c:v>
                </c:pt>
                <c:pt idx="48">
                  <c:v>5.883738224994595</c:v>
                </c:pt>
                <c:pt idx="49">
                  <c:v>1.114228353654775</c:v>
                </c:pt>
                <c:pt idx="50">
                  <c:v>10.05875773187229</c:v>
                </c:pt>
              </c:numCache>
            </c:numRef>
          </c:val>
        </c:ser>
        <c:ser>
          <c:idx val="1"/>
          <c:order val="1"/>
          <c:tx>
            <c:strRef>
              <c:f>'Cost Nonrenewable Depletion'!$B$38</c:f>
              <c:strCache>
                <c:ptCount val="1"/>
                <c:pt idx="0">
                  <c:v>Natural Gas Consumed outside the Electrical Sector (Barrel Equivalent)</c:v>
                </c:pt>
              </c:strCache>
            </c:strRef>
          </c:tx>
          <c:spPr>
            <a:solidFill>
              <a:schemeClr val="accent2"/>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Depletion'!$C$38:$BA$38</c:f>
              <c:numCache>
                <c:formatCode>_(* #,##0_);_(* \(#,##0\);_(* "-"??_);_(@_)</c:formatCode>
                <c:ptCount val="51"/>
                <c:pt idx="1">
                  <c:v>9.525725060397367</c:v>
                </c:pt>
                <c:pt idx="2">
                  <c:v>70.19360764179012</c:v>
                </c:pt>
                <c:pt idx="3">
                  <c:v>2.927186086151458</c:v>
                </c:pt>
                <c:pt idx="4">
                  <c:v>10.52583677527413</c:v>
                </c:pt>
                <c:pt idx="5">
                  <c:v>7.167144865068933</c:v>
                </c:pt>
                <c:pt idx="6">
                  <c:v>13.08865607256556</c:v>
                </c:pt>
                <c:pt idx="7">
                  <c:v>6.01837471329679</c:v>
                </c:pt>
                <c:pt idx="8">
                  <c:v>7.954898799448192</c:v>
                </c:pt>
                <c:pt idx="9">
                  <c:v>1.601053593013817</c:v>
                </c:pt>
                <c:pt idx="10">
                  <c:v>5.828268871660501</c:v>
                </c:pt>
                <c:pt idx="11">
                  <c:v>0.0250214302294558</c:v>
                </c:pt>
                <c:pt idx="12">
                  <c:v>8.219283785327898</c:v>
                </c:pt>
                <c:pt idx="13">
                  <c:v>12.57599197333156</c:v>
                </c:pt>
                <c:pt idx="14">
                  <c:v>14.5257895656962</c:v>
                </c:pt>
                <c:pt idx="15">
                  <c:v>15.05759479366442</c:v>
                </c:pt>
                <c:pt idx="16">
                  <c:v>15.23284252746303</c:v>
                </c:pt>
                <c:pt idx="17">
                  <c:v>8.397979349041074</c:v>
                </c:pt>
                <c:pt idx="18">
                  <c:v>45.33489838040633</c:v>
                </c:pt>
                <c:pt idx="19">
                  <c:v>5.022350628284384</c:v>
                </c:pt>
                <c:pt idx="20">
                  <c:v>5.240700564332808</c:v>
                </c:pt>
                <c:pt idx="21">
                  <c:v>6.993624272869883</c:v>
                </c:pt>
                <c:pt idx="22">
                  <c:v>11.74469344882012</c:v>
                </c:pt>
                <c:pt idx="23">
                  <c:v>12.78441115140882</c:v>
                </c:pt>
                <c:pt idx="24">
                  <c:v>11.21646818883965</c:v>
                </c:pt>
                <c:pt idx="25">
                  <c:v>6.785816382430959</c:v>
                </c:pt>
                <c:pt idx="26">
                  <c:v>12.90942804044595</c:v>
                </c:pt>
                <c:pt idx="27">
                  <c:v>15.8540644411753</c:v>
                </c:pt>
                <c:pt idx="28">
                  <c:v>5.679454719609124</c:v>
                </c:pt>
                <c:pt idx="29">
                  <c:v>3.035345843511227</c:v>
                </c:pt>
                <c:pt idx="30">
                  <c:v>9.222960071604518</c:v>
                </c:pt>
                <c:pt idx="31">
                  <c:v>14.67281545831622</c:v>
                </c:pt>
                <c:pt idx="32">
                  <c:v>7.101975549103213</c:v>
                </c:pt>
                <c:pt idx="33">
                  <c:v>3.948092593754524</c:v>
                </c:pt>
                <c:pt idx="34">
                  <c:v>18.15438631124021</c:v>
                </c:pt>
                <c:pt idx="35">
                  <c:v>11.20591870422543</c:v>
                </c:pt>
                <c:pt idx="36">
                  <c:v>18.37512886168505</c:v>
                </c:pt>
                <c:pt idx="37">
                  <c:v>6.347019304682074</c:v>
                </c:pt>
                <c:pt idx="38">
                  <c:v>9.248473782654891</c:v>
                </c:pt>
                <c:pt idx="39">
                  <c:v>6.104618590322787</c:v>
                </c:pt>
                <c:pt idx="40">
                  <c:v>4.877253619519852</c:v>
                </c:pt>
                <c:pt idx="41">
                  <c:v>15.15646517234806</c:v>
                </c:pt>
                <c:pt idx="42">
                  <c:v>6.252902069914256</c:v>
                </c:pt>
                <c:pt idx="43">
                  <c:v>15.28880713405163</c:v>
                </c:pt>
                <c:pt idx="44">
                  <c:v>11.59085558929742</c:v>
                </c:pt>
                <c:pt idx="45">
                  <c:v>2.366386134342052</c:v>
                </c:pt>
                <c:pt idx="46">
                  <c:v>5.039843569382558</c:v>
                </c:pt>
                <c:pt idx="47">
                  <c:v>5.857240709088375</c:v>
                </c:pt>
                <c:pt idx="48">
                  <c:v>11.35849622581895</c:v>
                </c:pt>
                <c:pt idx="49">
                  <c:v>10.59573792134039</c:v>
                </c:pt>
                <c:pt idx="50">
                  <c:v>49.04783981644074</c:v>
                </c:pt>
              </c:numCache>
            </c:numRef>
          </c:val>
        </c:ser>
        <c:ser>
          <c:idx val="2"/>
          <c:order val="2"/>
          <c:tx>
            <c:strRef>
              <c:f>'Cost Nonrenewable Depletion'!$B$39</c:f>
              <c:strCache>
                <c:ptCount val="1"/>
                <c:pt idx="0">
                  <c:v>Petroleum Products Consumed outside the Electrical Sector (Barrel Equivalent)</c:v>
                </c:pt>
              </c:strCache>
            </c:strRef>
          </c:tx>
          <c:spPr>
            <a:solidFill>
              <a:schemeClr val="accent3"/>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Depletion'!$C$39:$BA$39</c:f>
              <c:numCache>
                <c:formatCode>_(* #,##0_);_(* \(#,##0\);_(* "-"??_);_(@_)</c:formatCode>
                <c:ptCount val="51"/>
                <c:pt idx="1">
                  <c:v>19.68314854228303</c:v>
                </c:pt>
                <c:pt idx="2">
                  <c:v>62.47635997435206</c:v>
                </c:pt>
                <c:pt idx="3">
                  <c:v>13.33762476230942</c:v>
                </c:pt>
                <c:pt idx="4">
                  <c:v>19.66113658525286</c:v>
                </c:pt>
                <c:pt idx="5">
                  <c:v>15.52980518065974</c:v>
                </c:pt>
                <c:pt idx="6">
                  <c:v>15.92610417068611</c:v>
                </c:pt>
                <c:pt idx="7">
                  <c:v>15.08439285169755</c:v>
                </c:pt>
                <c:pt idx="8">
                  <c:v>19.19427848745136</c:v>
                </c:pt>
                <c:pt idx="9">
                  <c:v>14.24142592160485</c:v>
                </c:pt>
                <c:pt idx="10">
                  <c:v>17.4935920670039</c:v>
                </c:pt>
                <c:pt idx="11">
                  <c:v>21.08055496831649</c:v>
                </c:pt>
                <c:pt idx="12">
                  <c:v>17.55987383540914</c:v>
                </c:pt>
                <c:pt idx="13">
                  <c:v>16.09405198804606</c:v>
                </c:pt>
                <c:pt idx="14">
                  <c:v>19.93128830571757</c:v>
                </c:pt>
                <c:pt idx="15">
                  <c:v>23.67801154399845</c:v>
                </c:pt>
                <c:pt idx="16">
                  <c:v>23.85837954222521</c:v>
                </c:pt>
                <c:pt idx="17">
                  <c:v>23.5198697612777</c:v>
                </c:pt>
                <c:pt idx="18">
                  <c:v>70.00923371139977</c:v>
                </c:pt>
                <c:pt idx="19">
                  <c:v>24.52775888231908</c:v>
                </c:pt>
                <c:pt idx="20">
                  <c:v>14.04507751241193</c:v>
                </c:pt>
                <c:pt idx="21">
                  <c:v>14.8223081604108</c:v>
                </c:pt>
                <c:pt idx="22">
                  <c:v>13.37512503044883</c:v>
                </c:pt>
                <c:pt idx="23">
                  <c:v>19.4361741288001</c:v>
                </c:pt>
                <c:pt idx="24">
                  <c:v>23.66055189447538</c:v>
                </c:pt>
                <c:pt idx="25">
                  <c:v>18.39773980725045</c:v>
                </c:pt>
                <c:pt idx="26">
                  <c:v>28.30742052242364</c:v>
                </c:pt>
                <c:pt idx="27">
                  <c:v>21.93738314646689</c:v>
                </c:pt>
                <c:pt idx="28">
                  <c:v>13.14641639338094</c:v>
                </c:pt>
                <c:pt idx="29">
                  <c:v>19.32416297787105</c:v>
                </c:pt>
                <c:pt idx="30">
                  <c:v>21.3537090781838</c:v>
                </c:pt>
                <c:pt idx="31">
                  <c:v>20.87703590083771</c:v>
                </c:pt>
                <c:pt idx="32">
                  <c:v>10.99820438576422</c:v>
                </c:pt>
                <c:pt idx="33">
                  <c:v>13.94516325196734</c:v>
                </c:pt>
                <c:pt idx="34">
                  <c:v>46.10358021620087</c:v>
                </c:pt>
                <c:pt idx="35">
                  <c:v>17.04417097673748</c:v>
                </c:pt>
                <c:pt idx="36">
                  <c:v>24.16605095025478</c:v>
                </c:pt>
                <c:pt idx="37">
                  <c:v>15.10537108396598</c:v>
                </c:pt>
                <c:pt idx="38">
                  <c:v>16.44999893553259</c:v>
                </c:pt>
                <c:pt idx="39">
                  <c:v>12.99692990197755</c:v>
                </c:pt>
                <c:pt idx="40">
                  <c:v>17.78242242517828</c:v>
                </c:pt>
                <c:pt idx="41">
                  <c:v>24.34664225889612</c:v>
                </c:pt>
                <c:pt idx="42">
                  <c:v>18.55665207133537</c:v>
                </c:pt>
                <c:pt idx="43">
                  <c:v>39.23873797165593</c:v>
                </c:pt>
                <c:pt idx="44">
                  <c:v>17.45367207923274</c:v>
                </c:pt>
                <c:pt idx="45">
                  <c:v>21.2424429733961</c:v>
                </c:pt>
                <c:pt idx="46">
                  <c:v>16.05133800379544</c:v>
                </c:pt>
                <c:pt idx="47">
                  <c:v>18.29187467346452</c:v>
                </c:pt>
                <c:pt idx="48">
                  <c:v>17.32588949666655</c:v>
                </c:pt>
                <c:pt idx="49">
                  <c:v>15.55994229372102</c:v>
                </c:pt>
                <c:pt idx="50">
                  <c:v>49.98989869767349</c:v>
                </c:pt>
              </c:numCache>
            </c:numRef>
          </c:val>
        </c:ser>
        <c:dLbls>
          <c:showLegendKey val="0"/>
          <c:showVal val="0"/>
          <c:showCatName val="0"/>
          <c:showSerName val="0"/>
          <c:showPercent val="0"/>
          <c:showBubbleSize val="0"/>
        </c:dLbls>
        <c:gapWidth val="150"/>
        <c:overlap val="100"/>
        <c:axId val="-870946688"/>
        <c:axId val="-870943936"/>
      </c:barChart>
      <c:catAx>
        <c:axId val="-87094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943936"/>
        <c:crosses val="autoZero"/>
        <c:auto val="1"/>
        <c:lblAlgn val="ctr"/>
        <c:lblOffset val="100"/>
        <c:noMultiLvlLbl val="0"/>
      </c:catAx>
      <c:valAx>
        <c:axId val="-8709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946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Energy Replacement Costs </a:t>
            </a:r>
            <a:r>
              <a:rPr lang="en-US" baseline="0"/>
              <a:t>(per capita)</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'Cost Nonrenewable Depletion'!$B$79</c:f>
              <c:strCache>
                <c:ptCount val="1"/>
                <c:pt idx="0">
                  <c:v>Replacement Costs for Energy Consumption Outside the Electrical Sector (2011 $)</c:v>
                </c:pt>
              </c:strCache>
            </c:strRef>
          </c:tx>
          <c:spPr>
            <a:solidFill>
              <a:schemeClr val="accent1"/>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Depletion'!$C$79:$BA$79</c:f>
              <c:numCache>
                <c:formatCode>_(* #,##0_);_(* \(#,##0\);_(* "-"??_);_(@_)</c:formatCode>
                <c:ptCount val="51"/>
                <c:pt idx="1">
                  <c:v>4792.554222390334</c:v>
                </c:pt>
                <c:pt idx="2">
                  <c:v>20504.37929986462</c:v>
                </c:pt>
                <c:pt idx="3">
                  <c:v>2512.112058868325</c:v>
                </c:pt>
                <c:pt idx="4">
                  <c:v>4637.141315096873</c:v>
                </c:pt>
                <c:pt idx="5">
                  <c:v>3473.779660949933</c:v>
                </c:pt>
                <c:pt idx="6">
                  <c:v>4442.368726474708</c:v>
                </c:pt>
                <c:pt idx="7">
                  <c:v>3206.77655917654</c:v>
                </c:pt>
                <c:pt idx="8">
                  <c:v>4125.588980517256</c:v>
                </c:pt>
                <c:pt idx="9">
                  <c:v>2424.723022878525</c:v>
                </c:pt>
                <c:pt idx="10">
                  <c:v>3622.757188309558</c:v>
                </c:pt>
                <c:pt idx="11">
                  <c:v>3231.918057017884</c:v>
                </c:pt>
                <c:pt idx="12">
                  <c:v>4046.436797866322</c:v>
                </c:pt>
                <c:pt idx="13">
                  <c:v>4588.75567740342</c:v>
                </c:pt>
                <c:pt idx="14">
                  <c:v>6206.28133558756</c:v>
                </c:pt>
                <c:pt idx="15">
                  <c:v>6536.111617876326</c:v>
                </c:pt>
                <c:pt idx="16">
                  <c:v>5963.121336294143</c:v>
                </c:pt>
                <c:pt idx="17">
                  <c:v>5144.22643144407</c:v>
                </c:pt>
                <c:pt idx="18">
                  <c:v>17535.13950221716</c:v>
                </c:pt>
                <c:pt idx="19">
                  <c:v>4500.295059855</c:v>
                </c:pt>
                <c:pt idx="20">
                  <c:v>3030.718689657393</c:v>
                </c:pt>
                <c:pt idx="21">
                  <c:v>3321.89042444812</c:v>
                </c:pt>
                <c:pt idx="22">
                  <c:v>4004.75214596305</c:v>
                </c:pt>
                <c:pt idx="23">
                  <c:v>5020.6917548467</c:v>
                </c:pt>
                <c:pt idx="24">
                  <c:v>5322.790555833385</c:v>
                </c:pt>
                <c:pt idx="25">
                  <c:v>3893.167297499877</c:v>
                </c:pt>
                <c:pt idx="26">
                  <c:v>6302.70420891941</c:v>
                </c:pt>
                <c:pt idx="27">
                  <c:v>6014.425963259825</c:v>
                </c:pt>
                <c:pt idx="28">
                  <c:v>2884.860008794027</c:v>
                </c:pt>
                <c:pt idx="29">
                  <c:v>3397.75096049725</c:v>
                </c:pt>
                <c:pt idx="30">
                  <c:v>4646.430644001833</c:v>
                </c:pt>
                <c:pt idx="31">
                  <c:v>5408.457507045357</c:v>
                </c:pt>
                <c:pt idx="32">
                  <c:v>2785.433781487647</c:v>
                </c:pt>
                <c:pt idx="33">
                  <c:v>2784.483804597257</c:v>
                </c:pt>
                <c:pt idx="34">
                  <c:v>13372.81303852557</c:v>
                </c:pt>
                <c:pt idx="35">
                  <c:v>4565.076513687236</c:v>
                </c:pt>
                <c:pt idx="36">
                  <c:v>6546.256067722243</c:v>
                </c:pt>
                <c:pt idx="37">
                  <c:v>3272.096869135721</c:v>
                </c:pt>
                <c:pt idx="38">
                  <c:v>4284.654959357963</c:v>
                </c:pt>
                <c:pt idx="39">
                  <c:v>2902.67130888996</c:v>
                </c:pt>
                <c:pt idx="40">
                  <c:v>3573.99021001646</c:v>
                </c:pt>
                <c:pt idx="41">
                  <c:v>6101.508876350334</c:v>
                </c:pt>
                <c:pt idx="42">
                  <c:v>4051.309832655368</c:v>
                </c:pt>
                <c:pt idx="43">
                  <c:v>8306.142476733375</c:v>
                </c:pt>
                <c:pt idx="44">
                  <c:v>4542.076723303843</c:v>
                </c:pt>
                <c:pt idx="45">
                  <c:v>3587.59767121189</c:v>
                </c:pt>
                <c:pt idx="46">
                  <c:v>3440.041834148037</c:v>
                </c:pt>
                <c:pt idx="47">
                  <c:v>3676.995198927434</c:v>
                </c:pt>
                <c:pt idx="48">
                  <c:v>5252.972115059076</c:v>
                </c:pt>
                <c:pt idx="49">
                  <c:v>4143.935306102112</c:v>
                </c:pt>
                <c:pt idx="50">
                  <c:v>16578.30356954011</c:v>
                </c:pt>
              </c:numCache>
            </c:numRef>
          </c:val>
        </c:ser>
        <c:ser>
          <c:idx val="1"/>
          <c:order val="1"/>
          <c:tx>
            <c:strRef>
              <c:f>'Cost Nonrenewable Depletion'!$B$80</c:f>
              <c:strCache>
                <c:ptCount val="1"/>
                <c:pt idx="0">
                  <c:v>Replacement Costs Electrical Sector (2011 $)</c:v>
                </c:pt>
              </c:strCache>
            </c:strRef>
          </c:tx>
          <c:spPr>
            <a:solidFill>
              <a:schemeClr val="accent2"/>
            </a:solidFill>
            <a:ln>
              <a:noFill/>
            </a:ln>
            <a:effectLst/>
          </c:spPr>
          <c:invertIfNegative val="0"/>
          <c:cat>
            <c:strRef>
              <c:f>'Cost Nonrenewable Depletion'!$C$3:$BA$3</c:f>
              <c:strCache>
                <c:ptCount val="51"/>
                <c:pt idx="0">
                  <c:v>US</c:v>
                </c:pt>
                <c:pt idx="1">
                  <c:v>AL</c:v>
                </c:pt>
                <c:pt idx="2">
                  <c:v>AK</c:v>
                </c:pt>
                <c:pt idx="3">
                  <c:v>AZ</c:v>
                </c:pt>
                <c:pt idx="4">
                  <c:v>AR</c:v>
                </c:pt>
                <c:pt idx="5">
                  <c:v>CA</c:v>
                </c:pt>
                <c:pt idx="6">
                  <c:v>CO</c:v>
                </c:pt>
                <c:pt idx="7">
                  <c:v>CT</c:v>
                </c:pt>
                <c:pt idx="8">
                  <c:v>DE</c:v>
                </c:pt>
                <c:pt idx="9">
                  <c:v>FL</c:v>
                </c:pt>
                <c:pt idx="10">
                  <c:v>GA</c:v>
                </c:pt>
                <c:pt idx="11">
                  <c:v>HI</c:v>
                </c:pt>
                <c:pt idx="12">
                  <c:v>ID</c:v>
                </c:pt>
                <c:pt idx="13">
                  <c:v>IL</c:v>
                </c:pt>
                <c:pt idx="14">
                  <c:v>IN</c:v>
                </c:pt>
                <c:pt idx="15">
                  <c:v>IA</c:v>
                </c:pt>
                <c:pt idx="16">
                  <c:v>KS</c:v>
                </c:pt>
                <c:pt idx="17">
                  <c:v>KY</c:v>
                </c:pt>
                <c:pt idx="18">
                  <c:v>LA</c:v>
                </c:pt>
                <c:pt idx="19">
                  <c:v>ME</c:v>
                </c:pt>
                <c:pt idx="20">
                  <c:v>MD</c:v>
                </c:pt>
                <c:pt idx="21">
                  <c:v>MA</c:v>
                </c:pt>
                <c:pt idx="22">
                  <c:v>MI</c:v>
                </c:pt>
                <c:pt idx="23">
                  <c:v>MN</c:v>
                </c:pt>
                <c:pt idx="24">
                  <c:v>MS</c:v>
                </c:pt>
                <c:pt idx="25">
                  <c:v>MO</c:v>
                </c:pt>
                <c:pt idx="26">
                  <c:v>MT</c:v>
                </c:pt>
                <c:pt idx="27">
                  <c:v>NE</c:v>
                </c:pt>
                <c:pt idx="28">
                  <c:v>NV</c:v>
                </c:pt>
                <c:pt idx="29">
                  <c:v>NH</c:v>
                </c:pt>
                <c:pt idx="30">
                  <c:v>NJ</c:v>
                </c:pt>
                <c:pt idx="31">
                  <c:v>NM</c:v>
                </c:pt>
                <c:pt idx="32">
                  <c:v>NY</c:v>
                </c:pt>
                <c:pt idx="33">
                  <c:v>NC</c:v>
                </c:pt>
                <c:pt idx="34">
                  <c:v>ND</c:v>
                </c:pt>
                <c:pt idx="35">
                  <c:v>OH</c:v>
                </c:pt>
                <c:pt idx="36">
                  <c:v>OK</c:v>
                </c:pt>
                <c:pt idx="37">
                  <c:v>OR</c:v>
                </c:pt>
                <c:pt idx="38">
                  <c:v>PA</c:v>
                </c:pt>
                <c:pt idx="39">
                  <c:v>RI</c:v>
                </c:pt>
                <c:pt idx="40">
                  <c:v>SC</c:v>
                </c:pt>
                <c:pt idx="41">
                  <c:v>SD</c:v>
                </c:pt>
                <c:pt idx="42">
                  <c:v>TN</c:v>
                </c:pt>
                <c:pt idx="43">
                  <c:v>TX</c:v>
                </c:pt>
                <c:pt idx="44">
                  <c:v>UT</c:v>
                </c:pt>
                <c:pt idx="45">
                  <c:v>VT</c:v>
                </c:pt>
                <c:pt idx="46">
                  <c:v>VA</c:v>
                </c:pt>
                <c:pt idx="47">
                  <c:v>WA</c:v>
                </c:pt>
                <c:pt idx="48">
                  <c:v>WV</c:v>
                </c:pt>
                <c:pt idx="49">
                  <c:v>WI</c:v>
                </c:pt>
                <c:pt idx="50">
                  <c:v>WY</c:v>
                </c:pt>
              </c:strCache>
            </c:strRef>
          </c:cat>
          <c:val>
            <c:numRef>
              <c:f>'Cost Nonrenewable Depletion'!$C$80:$BA$80</c:f>
              <c:numCache>
                <c:formatCode>_(* #,##0_);_(* \(#,##0\);_(* "-"??_);_(@_)</c:formatCode>
                <c:ptCount val="51"/>
                <c:pt idx="1">
                  <c:v>9080.433383622605</c:v>
                </c:pt>
                <c:pt idx="2">
                  <c:v>2364.958941462355</c:v>
                </c:pt>
                <c:pt idx="3">
                  <c:v>4812.956387779419</c:v>
                </c:pt>
                <c:pt idx="4">
                  <c:v>6145.949014368704</c:v>
                </c:pt>
                <c:pt idx="5">
                  <c:v>1074.526372708321</c:v>
                </c:pt>
                <c:pt idx="6">
                  <c:v>2839.348353103235</c:v>
                </c:pt>
                <c:pt idx="7">
                  <c:v>2746.88135396185</c:v>
                </c:pt>
                <c:pt idx="8">
                  <c:v>2122.91925561102</c:v>
                </c:pt>
                <c:pt idx="9">
                  <c:v>3236.71139784555</c:v>
                </c:pt>
                <c:pt idx="10">
                  <c:v>3768.177187470899</c:v>
                </c:pt>
                <c:pt idx="11">
                  <c:v>2229.3933000487</c:v>
                </c:pt>
                <c:pt idx="12">
                  <c:v>217.8123284741794</c:v>
                </c:pt>
                <c:pt idx="13">
                  <c:v>5008.697649311598</c:v>
                </c:pt>
                <c:pt idx="14">
                  <c:v>5896.338953060296</c:v>
                </c:pt>
                <c:pt idx="15">
                  <c:v>4774.695108093404</c:v>
                </c:pt>
                <c:pt idx="16">
                  <c:v>5091.304576688828</c:v>
                </c:pt>
                <c:pt idx="17">
                  <c:v>7367.259904554847</c:v>
                </c:pt>
                <c:pt idx="18">
                  <c:v>5595.453363232874</c:v>
                </c:pt>
                <c:pt idx="19">
                  <c:v>1822.41657755643</c:v>
                </c:pt>
                <c:pt idx="20">
                  <c:v>2217.708580898912</c:v>
                </c:pt>
                <c:pt idx="21">
                  <c:v>1583.411736929937</c:v>
                </c:pt>
                <c:pt idx="22">
                  <c:v>3652.88714335612</c:v>
                </c:pt>
                <c:pt idx="23">
                  <c:v>2965.691800138051</c:v>
                </c:pt>
                <c:pt idx="24">
                  <c:v>4966.688291596841</c:v>
                </c:pt>
                <c:pt idx="25">
                  <c:v>5088.853521724617</c:v>
                </c:pt>
                <c:pt idx="26">
                  <c:v>5680.897143821998</c:v>
                </c:pt>
                <c:pt idx="27">
                  <c:v>6023.511382246145</c:v>
                </c:pt>
                <c:pt idx="28">
                  <c:v>2945.34844721816</c:v>
                </c:pt>
                <c:pt idx="29">
                  <c:v>4415.796579932256</c:v>
                </c:pt>
                <c:pt idx="30">
                  <c:v>2255.156794490801</c:v>
                </c:pt>
                <c:pt idx="31">
                  <c:v>5581.862387132019</c:v>
                </c:pt>
                <c:pt idx="32">
                  <c:v>1761.26925673584</c:v>
                </c:pt>
                <c:pt idx="33">
                  <c:v>3783.74284378715</c:v>
                </c:pt>
                <c:pt idx="34">
                  <c:v>14374.23591795704</c:v>
                </c:pt>
                <c:pt idx="35">
                  <c:v>3836.515889897165</c:v>
                </c:pt>
                <c:pt idx="36">
                  <c:v>5455.032337601776</c:v>
                </c:pt>
                <c:pt idx="37">
                  <c:v>838.4351302832135</c:v>
                </c:pt>
                <c:pt idx="38">
                  <c:v>5503.75029937066</c:v>
                </c:pt>
                <c:pt idx="39">
                  <c:v>2120.338985815814</c:v>
                </c:pt>
                <c:pt idx="40">
                  <c:v>6965.429437890798</c:v>
                </c:pt>
                <c:pt idx="41">
                  <c:v>1201.736885515828</c:v>
                </c:pt>
                <c:pt idx="42">
                  <c:v>3643.145867440194</c:v>
                </c:pt>
                <c:pt idx="43">
                  <c:v>4513.168742065165</c:v>
                </c:pt>
                <c:pt idx="44">
                  <c:v>4339.263162148299</c:v>
                </c:pt>
                <c:pt idx="45">
                  <c:v>3375.224433715172</c:v>
                </c:pt>
                <c:pt idx="46">
                  <c:v>2586.488890379199</c:v>
                </c:pt>
                <c:pt idx="47">
                  <c:v>624.1573863472097</c:v>
                </c:pt>
                <c:pt idx="48">
                  <c:v>13280.41015440495</c:v>
                </c:pt>
                <c:pt idx="49">
                  <c:v>3385.486762035436</c:v>
                </c:pt>
                <c:pt idx="50">
                  <c:v>24752.31833077391</c:v>
                </c:pt>
              </c:numCache>
            </c:numRef>
          </c:val>
        </c:ser>
        <c:dLbls>
          <c:showLegendKey val="0"/>
          <c:showVal val="0"/>
          <c:showCatName val="0"/>
          <c:showSerName val="0"/>
          <c:showPercent val="0"/>
          <c:showBubbleSize val="0"/>
        </c:dLbls>
        <c:gapWidth val="150"/>
        <c:overlap val="100"/>
        <c:axId val="-870916480"/>
        <c:axId val="-870913728"/>
      </c:barChart>
      <c:catAx>
        <c:axId val="-87091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913728"/>
        <c:crosses val="autoZero"/>
        <c:auto val="1"/>
        <c:lblAlgn val="ctr"/>
        <c:lblOffset val="100"/>
        <c:noMultiLvlLbl val="0"/>
      </c:catAx>
      <c:valAx>
        <c:axId val="-870913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916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 Id="rId3"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55</xdr:col>
      <xdr:colOff>25400</xdr:colOff>
      <xdr:row>1</xdr:row>
      <xdr:rowOff>50800</xdr:rowOff>
    </xdr:from>
    <xdr:to>
      <xdr:col>65</xdr:col>
      <xdr:colOff>304800</xdr:colOff>
      <xdr:row>30</xdr:row>
      <xdr:rowOff>63500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51</xdr:row>
      <xdr:rowOff>0</xdr:rowOff>
    </xdr:from>
    <xdr:to>
      <xdr:col>12</xdr:col>
      <xdr:colOff>330200</xdr:colOff>
      <xdr:row>80</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165100</xdr:colOff>
      <xdr:row>1</xdr:row>
      <xdr:rowOff>88900</xdr:rowOff>
    </xdr:from>
    <xdr:to>
      <xdr:col>17</xdr:col>
      <xdr:colOff>495300</xdr:colOff>
      <xdr:row>27</xdr:row>
      <xdr:rowOff>177800</xdr:rowOff>
    </xdr:to>
    <xdr:graphicFrame macro="">
      <xdr:nvGraphicFramePr>
        <xdr:cNvPr id="12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165100</xdr:colOff>
      <xdr:row>28</xdr:row>
      <xdr:rowOff>38100</xdr:rowOff>
    </xdr:from>
    <xdr:to>
      <xdr:col>18</xdr:col>
      <xdr:colOff>114300</xdr:colOff>
      <xdr:row>54</xdr:row>
      <xdr:rowOff>177800</xdr:rowOff>
    </xdr:to>
    <xdr:graphicFrame macro="">
      <xdr:nvGraphicFramePr>
        <xdr:cNvPr id="123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40</xdr:row>
      <xdr:rowOff>177800</xdr:rowOff>
    </xdr:from>
    <xdr:to>
      <xdr:col>10</xdr:col>
      <xdr:colOff>330200</xdr:colOff>
      <xdr:row>77</xdr:row>
      <xdr:rowOff>88900</xdr:rowOff>
    </xdr:to>
    <xdr:graphicFrame macro="">
      <xdr:nvGraphicFramePr>
        <xdr:cNvPr id="11576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85</xdr:row>
      <xdr:rowOff>25400</xdr:rowOff>
    </xdr:from>
    <xdr:to>
      <xdr:col>9</xdr:col>
      <xdr:colOff>419100</xdr:colOff>
      <xdr:row>118</xdr:row>
      <xdr:rowOff>101600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533400</xdr:colOff>
      <xdr:row>99</xdr:row>
      <xdr:rowOff>76200</xdr:rowOff>
    </xdr:from>
    <xdr:to>
      <xdr:col>3</xdr:col>
      <xdr:colOff>546100</xdr:colOff>
      <xdr:row>127</xdr:row>
      <xdr:rowOff>12700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850900</xdr:colOff>
      <xdr:row>99</xdr:row>
      <xdr:rowOff>63500</xdr:rowOff>
    </xdr:from>
    <xdr:to>
      <xdr:col>10</xdr:col>
      <xdr:colOff>609600</xdr:colOff>
      <xdr:row>127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4737100</xdr:colOff>
      <xdr:row>128</xdr:row>
      <xdr:rowOff>114300</xdr:rowOff>
    </xdr:from>
    <xdr:to>
      <xdr:col>7</xdr:col>
      <xdr:colOff>520700</xdr:colOff>
      <xdr:row>156</xdr:row>
      <xdr:rowOff>50800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1" Type="http://schemas.openxmlformats.org/officeDocument/2006/relationships/vmlDrawing" Target="../drawings/vmlDrawing2.vml"/><Relationship Id="rId12" Type="http://schemas.openxmlformats.org/officeDocument/2006/relationships/comments" Target="../comments2.xml"/><Relationship Id="rId1" Type="http://schemas.openxmlformats.org/officeDocument/2006/relationships/hyperlink" Target="http://www.bls.gov/lau/staadata.txt" TargetMode="External"/><Relationship Id="rId2" Type="http://schemas.openxmlformats.org/officeDocument/2006/relationships/hyperlink" Target="http://www.bls.gov/lau/stalt11q4.htm" TargetMode="External"/><Relationship Id="rId3" Type="http://schemas.openxmlformats.org/officeDocument/2006/relationships/hyperlink" Target="http://www.epi.org/publication/epi_virlib_briefingpapers_1992_greata/" TargetMode="External"/><Relationship Id="rId4" Type="http://schemas.openxmlformats.org/officeDocument/2006/relationships/hyperlink" Target="http://www.bls.gov/lau/staadata.txt" TargetMode="External"/><Relationship Id="rId5" Type="http://schemas.openxmlformats.org/officeDocument/2006/relationships/hyperlink" Target="http://www.bls.gov/oes/2011/may/oessrcst.htm" TargetMode="External"/><Relationship Id="rId6" Type="http://schemas.openxmlformats.org/officeDocument/2006/relationships/hyperlink" Target="http://www.bls.gov/lau/staadata.txt" TargetMode="External"/><Relationship Id="rId7" Type="http://schemas.openxmlformats.org/officeDocument/2006/relationships/hyperlink" Target="http://www.bls.gov/lau/stalt11q4.htm" TargetMode="External"/><Relationship Id="rId8" Type="http://schemas.openxmlformats.org/officeDocument/2006/relationships/hyperlink" Target="http://www.bls.gov/lau/staadata.txt" TargetMode="External"/><Relationship Id="rId9" Type="http://schemas.openxmlformats.org/officeDocument/2006/relationships/hyperlink" Target="http://www.epi.org/publication/epi_virlib_briefingpapers_1992_greata/" TargetMode="External"/><Relationship Id="rId10" Type="http://schemas.openxmlformats.org/officeDocument/2006/relationships/hyperlink" Target="http://www.bls.gov/oes/2011/may/oessrcst.ht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bea.gov/iTable/iTable.cfm?reqid=9&amp;step=3&amp;isuri=1&amp;910=x&amp;911=0&amp;903=139&amp;904=1960&amp;905=2011&amp;906=q" TargetMode="External"/><Relationship Id="rId4" Type="http://schemas.openxmlformats.org/officeDocument/2006/relationships/hyperlink" Target="http://www.bea.gov/iTable/iTable.cfm?reqid=9&amp;step=3&amp;isuri=1&amp;910=x&amp;911=0&amp;903=139&amp;904=1960&amp;905=2011&amp;906=q" TargetMode="External"/><Relationship Id="rId5" Type="http://schemas.openxmlformats.org/officeDocument/2006/relationships/hyperlink" Target="http://www.bea.gov/iTable/iTable.cfm?reqid=9&amp;step=3&amp;isuri=1&amp;910=x&amp;911=0&amp;903=139&amp;904=1960&amp;905=2011&amp;906=q" TargetMode="External"/><Relationship Id="rId6" Type="http://schemas.openxmlformats.org/officeDocument/2006/relationships/hyperlink" Target="http://www.bea.gov/iTable/iTable.cfm?reqid=9&amp;step=3&amp;isuri=1&amp;910=x&amp;911=0&amp;903=139&amp;904=1960&amp;905=2011&amp;906=q" TargetMode="External"/><Relationship Id="rId7" Type="http://schemas.openxmlformats.org/officeDocument/2006/relationships/hyperlink" Target="http://www.bea.gov/iTable/iTable.cfm?reqid=9&amp;step=3&amp;isuri=1&amp;910=x&amp;911=0&amp;903=139&amp;904=1960&amp;905=2011&amp;906=q" TargetMode="External"/><Relationship Id="rId1" Type="http://schemas.openxmlformats.org/officeDocument/2006/relationships/hyperlink" Target="http://www.bea.gov/iTable/iTable.cfm?reqid=9&amp;step=3&amp;isuri=1&amp;910=x&amp;911=0&amp;903=139&amp;904=1960&amp;905=2011&amp;906=q" TargetMode="External"/><Relationship Id="rId2" Type="http://schemas.openxmlformats.org/officeDocument/2006/relationships/hyperlink" Target="http://www.bea.gov/iTable/iTable.cfm?reqid=9&amp;step=3&amp;isuri=1&amp;910=x&amp;911=0&amp;903=139&amp;904=1960&amp;905=2011&amp;906=q"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www.census.gov/geo/reference/ua/urban-rural-2010.html"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www.npwrc.usgs.gov/resource/wetlands/wetloss/table_1.htm" TargetMode="External"/><Relationship Id="rId2" Type="http://schemas.openxmlformats.org/officeDocument/2006/relationships/hyperlink" Target="http://www.nrcs.usda.gov/Internet/FSE_DOCUMENTS/stelprdb1167354.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www.fia.fs.fed.us/slides/trend-data/web%20historic%20publications/1909%20timber%20supply%20of%20us.pdf" TargetMode="External"/><Relationship Id="rId2" Type="http://schemas.openxmlformats.org/officeDocument/2006/relationships/hyperlink" Target="http://discovery.ucl.ac.uk/17587/1/17587.pdf" TargetMode="External"/><Relationship Id="rId3" Type="http://schemas.openxmlformats.org/officeDocument/2006/relationships/hyperlink" Target="http://quickfacts.census.gov/qfd/states/50000.html" TargetMode="Externa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20.xml.rels><?xml version="1.0" encoding="UTF-8" standalone="yes"?>
<Relationships xmlns="http://schemas.openxmlformats.org/package/2006/relationships"><Relationship Id="rId1" Type="http://schemas.openxmlformats.org/officeDocument/2006/relationships/hyperlink" Target="http://www.ecocivilization.info/sitebuildercontent/sitebuilderfiles/CarbonFreeNuclearFree.pdf" TargetMode="External"/><Relationship Id="rId2" Type="http://schemas.openxmlformats.org/officeDocument/2006/relationships/hyperlink" Target="http://www.ecocivilization.info/sitebuildercontent/sitebuilderfiles/CarbonFreeNuclearFree.pdf" TargetMode="External"/><Relationship Id="rId3" Type="http://schemas.openxmlformats.org/officeDocument/2006/relationships/drawing" Target="../drawings/drawing5.xml"/></Relationships>
</file>

<file path=xl/worksheets/_rels/sheet21.xml.rels><?xml version="1.0" encoding="UTF-8" standalone="yes"?>
<Relationships xmlns="http://schemas.openxmlformats.org/package/2006/relationships"><Relationship Id="rId1" Type="http://schemas.openxmlformats.org/officeDocument/2006/relationships/hyperlink" Target="http://www.bls.gov/tus/tables.htm" TargetMode="External"/><Relationship Id="rId2" Type="http://schemas.openxmlformats.org/officeDocument/2006/relationships/hyperlink" Target="http://www.bls.gov/oes/tables.ht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www.epa.gov/wastes/nonhaz/municipal/pubs/msw2009-fs.pdf" TargetMode="External"/></Relationships>
</file>

<file path=xl/worksheets/_rels/sheet27.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hyperlink" Target="http://www.nsc.org/news_resources/injury_and_death_statistics/Pages/EstimatingtheCostsofUnintentionalInjuries.asp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5"/>
  <sheetViews>
    <sheetView tabSelected="1" workbookViewId="0">
      <selection activeCell="B31" sqref="B31"/>
    </sheetView>
  </sheetViews>
  <sheetFormatPr baseColWidth="10" defaultRowHeight="16" x14ac:dyDescent="0.2"/>
  <cols>
    <col min="1" max="1" width="42" style="7" customWidth="1"/>
    <col min="2" max="2" width="23" style="7" bestFit="1" customWidth="1"/>
    <col min="3" max="3" width="15.5" style="18" customWidth="1"/>
    <col min="4" max="4" width="11.5" style="18" bestFit="1" customWidth="1"/>
    <col min="5" max="5" width="11" style="18" bestFit="1" customWidth="1"/>
    <col min="6" max="6" width="11.5" style="18" bestFit="1" customWidth="1"/>
    <col min="7" max="7" width="11" style="18" bestFit="1" customWidth="1"/>
    <col min="8" max="8" width="13.1640625" style="18" bestFit="1" customWidth="1"/>
    <col min="9" max="10" width="11.5" style="18" bestFit="1" customWidth="1"/>
    <col min="11" max="12" width="11" style="18" bestFit="1" customWidth="1"/>
    <col min="13" max="14" width="11.5" style="18" bestFit="1" customWidth="1"/>
    <col min="15" max="16" width="11" style="18" bestFit="1" customWidth="1"/>
    <col min="17" max="22" width="11.5" style="18" bestFit="1" customWidth="1"/>
    <col min="23" max="23" width="11" style="18" bestFit="1" customWidth="1"/>
    <col min="24" max="27" width="11.5" style="18" bestFit="1" customWidth="1"/>
    <col min="28" max="28" width="11" style="18" bestFit="1" customWidth="1"/>
    <col min="29" max="29" width="11.5" style="18" bestFit="1" customWidth="1"/>
    <col min="30" max="31" width="11" style="18" bestFit="1" customWidth="1"/>
    <col min="32" max="32" width="11.5" style="18" bestFit="1" customWidth="1"/>
    <col min="33" max="33" width="11" style="18" bestFit="1" customWidth="1"/>
    <col min="34" max="34" width="11.5" style="18" bestFit="1" customWidth="1"/>
    <col min="35" max="35" width="11" style="18" bestFit="1" customWidth="1"/>
    <col min="36" max="36" width="13.1640625" style="18" bestFit="1" customWidth="1"/>
    <col min="37" max="37" width="11.5" style="18" bestFit="1" customWidth="1"/>
    <col min="38" max="38" width="11" style="18" bestFit="1" customWidth="1"/>
    <col min="39" max="42" width="11.5" style="18" bestFit="1" customWidth="1"/>
    <col min="43" max="43" width="11" style="18" bestFit="1" customWidth="1"/>
    <col min="44" max="44" width="11.5" style="18" bestFit="1" customWidth="1"/>
    <col min="45" max="45" width="11" style="18" bestFit="1" customWidth="1"/>
    <col min="46" max="46" width="11.5" style="18" bestFit="1" customWidth="1"/>
    <col min="47" max="47" width="13.1640625" style="18" bestFit="1" customWidth="1"/>
    <col min="48" max="48" width="11.5" style="18" bestFit="1" customWidth="1"/>
    <col min="49" max="49" width="11" style="18" bestFit="1" customWidth="1"/>
    <col min="50" max="51" width="11.5" style="18" bestFit="1" customWidth="1"/>
    <col min="52" max="52" width="11" style="18" bestFit="1" customWidth="1"/>
    <col min="53" max="53" width="11.5" style="18" bestFit="1" customWidth="1"/>
    <col min="54" max="54" width="11" style="7" bestFit="1" customWidth="1"/>
    <col min="55" max="55" width="10.83203125" style="9"/>
    <col min="56" max="16384" width="10.83203125" style="7"/>
  </cols>
  <sheetData>
    <row r="1" spans="1:55" s="220" customFormat="1" x14ac:dyDescent="0.2">
      <c r="A1" s="220">
        <v>2011</v>
      </c>
      <c r="C1" s="373"/>
      <c r="D1" s="373">
        <v>1</v>
      </c>
      <c r="E1" s="373">
        <f>D1+1</f>
        <v>2</v>
      </c>
      <c r="F1" s="373">
        <f t="shared" ref="F1:K1" si="0">E1+1</f>
        <v>3</v>
      </c>
      <c r="G1" s="373">
        <f t="shared" si="0"/>
        <v>4</v>
      </c>
      <c r="H1" s="373">
        <f t="shared" si="0"/>
        <v>5</v>
      </c>
      <c r="I1" s="373">
        <f t="shared" si="0"/>
        <v>6</v>
      </c>
      <c r="J1" s="373">
        <f t="shared" si="0"/>
        <v>7</v>
      </c>
      <c r="K1" s="373">
        <f t="shared" si="0"/>
        <v>8</v>
      </c>
      <c r="L1" s="373">
        <f t="shared" ref="L1" si="1">K1+1</f>
        <v>9</v>
      </c>
      <c r="M1" s="373">
        <f t="shared" ref="M1" si="2">L1+1</f>
        <v>10</v>
      </c>
      <c r="N1" s="373">
        <f t="shared" ref="N1" si="3">M1+1</f>
        <v>11</v>
      </c>
      <c r="O1" s="373">
        <f t="shared" ref="O1" si="4">N1+1</f>
        <v>12</v>
      </c>
      <c r="P1" s="373">
        <f t="shared" ref="P1" si="5">O1+1</f>
        <v>13</v>
      </c>
      <c r="Q1" s="373">
        <f t="shared" ref="Q1" si="6">P1+1</f>
        <v>14</v>
      </c>
      <c r="R1" s="373">
        <f t="shared" ref="R1" si="7">Q1+1</f>
        <v>15</v>
      </c>
      <c r="S1" s="373">
        <f t="shared" ref="S1" si="8">R1+1</f>
        <v>16</v>
      </c>
      <c r="T1" s="373">
        <f t="shared" ref="T1" si="9">S1+1</f>
        <v>17</v>
      </c>
      <c r="U1" s="373">
        <f t="shared" ref="U1" si="10">T1+1</f>
        <v>18</v>
      </c>
      <c r="V1" s="373">
        <f t="shared" ref="V1" si="11">U1+1</f>
        <v>19</v>
      </c>
      <c r="W1" s="373">
        <f t="shared" ref="W1" si="12">V1+1</f>
        <v>20</v>
      </c>
      <c r="X1" s="373">
        <f t="shared" ref="X1" si="13">W1+1</f>
        <v>21</v>
      </c>
      <c r="Y1" s="373">
        <f t="shared" ref="Y1" si="14">X1+1</f>
        <v>22</v>
      </c>
      <c r="Z1" s="373">
        <f t="shared" ref="Z1" si="15">Y1+1</f>
        <v>23</v>
      </c>
      <c r="AA1" s="373">
        <f t="shared" ref="AA1" si="16">Z1+1</f>
        <v>24</v>
      </c>
      <c r="AB1" s="373">
        <f t="shared" ref="AB1" si="17">AA1+1</f>
        <v>25</v>
      </c>
      <c r="AC1" s="373">
        <f t="shared" ref="AC1" si="18">AB1+1</f>
        <v>26</v>
      </c>
      <c r="AD1" s="373">
        <f t="shared" ref="AD1" si="19">AC1+1</f>
        <v>27</v>
      </c>
      <c r="AE1" s="373">
        <f t="shared" ref="AE1" si="20">AD1+1</f>
        <v>28</v>
      </c>
      <c r="AF1" s="373">
        <f t="shared" ref="AF1" si="21">AE1+1</f>
        <v>29</v>
      </c>
      <c r="AG1" s="373">
        <f t="shared" ref="AG1" si="22">AF1+1</f>
        <v>30</v>
      </c>
      <c r="AH1" s="373">
        <f t="shared" ref="AH1" si="23">AG1+1</f>
        <v>31</v>
      </c>
      <c r="AI1" s="373">
        <f t="shared" ref="AI1" si="24">AH1+1</f>
        <v>32</v>
      </c>
      <c r="AJ1" s="373">
        <f t="shared" ref="AJ1" si="25">AI1+1</f>
        <v>33</v>
      </c>
      <c r="AK1" s="373">
        <f t="shared" ref="AK1" si="26">AJ1+1</f>
        <v>34</v>
      </c>
      <c r="AL1" s="373">
        <f t="shared" ref="AL1" si="27">AK1+1</f>
        <v>35</v>
      </c>
      <c r="AM1" s="373">
        <f t="shared" ref="AM1" si="28">AL1+1</f>
        <v>36</v>
      </c>
      <c r="AN1" s="373">
        <f t="shared" ref="AN1" si="29">AM1+1</f>
        <v>37</v>
      </c>
      <c r="AO1" s="373">
        <f t="shared" ref="AO1" si="30">AN1+1</f>
        <v>38</v>
      </c>
      <c r="AP1" s="373">
        <f t="shared" ref="AP1" si="31">AO1+1</f>
        <v>39</v>
      </c>
      <c r="AQ1" s="373">
        <f t="shared" ref="AQ1" si="32">AP1+1</f>
        <v>40</v>
      </c>
      <c r="AR1" s="373">
        <f t="shared" ref="AR1" si="33">AQ1+1</f>
        <v>41</v>
      </c>
      <c r="AS1" s="373">
        <f t="shared" ref="AS1" si="34">AR1+1</f>
        <v>42</v>
      </c>
      <c r="AT1" s="373">
        <f t="shared" ref="AT1" si="35">AS1+1</f>
        <v>43</v>
      </c>
      <c r="AU1" s="373">
        <f t="shared" ref="AU1" si="36">AT1+1</f>
        <v>44</v>
      </c>
      <c r="AV1" s="373">
        <f t="shared" ref="AV1" si="37">AU1+1</f>
        <v>45</v>
      </c>
      <c r="AW1" s="373">
        <f t="shared" ref="AW1" si="38">AV1+1</f>
        <v>46</v>
      </c>
      <c r="AX1" s="373">
        <f t="shared" ref="AX1" si="39">AW1+1</f>
        <v>47</v>
      </c>
      <c r="AY1" s="373">
        <f t="shared" ref="AY1" si="40">AX1+1</f>
        <v>48</v>
      </c>
      <c r="AZ1" s="373">
        <f t="shared" ref="AZ1" si="41">AY1+1</f>
        <v>49</v>
      </c>
      <c r="BA1" s="373">
        <f t="shared" ref="BA1" si="42">AZ1+1</f>
        <v>50</v>
      </c>
      <c r="BC1" s="9"/>
    </row>
    <row r="2" spans="1:55" s="220" customFormat="1" x14ac:dyDescent="0.2">
      <c r="B2" s="506"/>
      <c r="C2" s="373" t="s">
        <v>95</v>
      </c>
      <c r="D2" s="380" t="s">
        <v>144</v>
      </c>
      <c r="E2" s="380" t="s">
        <v>145</v>
      </c>
      <c r="F2" s="380" t="s">
        <v>146</v>
      </c>
      <c r="G2" s="380" t="s">
        <v>147</v>
      </c>
      <c r="H2" s="380" t="s">
        <v>148</v>
      </c>
      <c r="I2" s="380" t="s">
        <v>149</v>
      </c>
      <c r="J2" s="380" t="s">
        <v>150</v>
      </c>
      <c r="K2" s="380" t="s">
        <v>151</v>
      </c>
      <c r="L2" s="380" t="s">
        <v>152</v>
      </c>
      <c r="M2" s="380" t="s">
        <v>153</v>
      </c>
      <c r="N2" s="380" t="s">
        <v>154</v>
      </c>
      <c r="O2" s="380" t="s">
        <v>155</v>
      </c>
      <c r="P2" s="380" t="s">
        <v>156</v>
      </c>
      <c r="Q2" s="380" t="s">
        <v>2</v>
      </c>
      <c r="R2" s="380" t="s">
        <v>3</v>
      </c>
      <c r="S2" s="380" t="s">
        <v>4</v>
      </c>
      <c r="T2" s="380" t="s">
        <v>5</v>
      </c>
      <c r="U2" s="380" t="s">
        <v>6</v>
      </c>
      <c r="V2" s="380" t="s">
        <v>7</v>
      </c>
      <c r="W2" s="380" t="s">
        <v>8</v>
      </c>
      <c r="X2" s="380" t="s">
        <v>9</v>
      </c>
      <c r="Y2" s="380" t="s">
        <v>10</v>
      </c>
      <c r="Z2" s="380" t="s">
        <v>11</v>
      </c>
      <c r="AA2" s="380" t="s">
        <v>12</v>
      </c>
      <c r="AB2" s="380" t="s">
        <v>13</v>
      </c>
      <c r="AC2" s="380" t="s">
        <v>14</v>
      </c>
      <c r="AD2" s="380" t="s">
        <v>15</v>
      </c>
      <c r="AE2" s="380" t="s">
        <v>16</v>
      </c>
      <c r="AF2" s="380" t="s">
        <v>17</v>
      </c>
      <c r="AG2" s="380" t="s">
        <v>18</v>
      </c>
      <c r="AH2" s="380" t="s">
        <v>19</v>
      </c>
      <c r="AI2" s="380" t="s">
        <v>20</v>
      </c>
      <c r="AJ2" s="380" t="s">
        <v>21</v>
      </c>
      <c r="AK2" s="380" t="s">
        <v>22</v>
      </c>
      <c r="AL2" s="380" t="s">
        <v>23</v>
      </c>
      <c r="AM2" s="380" t="s">
        <v>24</v>
      </c>
      <c r="AN2" s="380" t="s">
        <v>25</v>
      </c>
      <c r="AO2" s="380" t="s">
        <v>26</v>
      </c>
      <c r="AP2" s="380" t="s">
        <v>27</v>
      </c>
      <c r="AQ2" s="380" t="s">
        <v>28</v>
      </c>
      <c r="AR2" s="380" t="s">
        <v>29</v>
      </c>
      <c r="AS2" s="380" t="s">
        <v>30</v>
      </c>
      <c r="AT2" s="380" t="s">
        <v>31</v>
      </c>
      <c r="AU2" s="380" t="s">
        <v>32</v>
      </c>
      <c r="AV2" s="380" t="s">
        <v>33</v>
      </c>
      <c r="AW2" s="380" t="s">
        <v>34</v>
      </c>
      <c r="AX2" s="380" t="s">
        <v>35</v>
      </c>
      <c r="AY2" s="380" t="s">
        <v>36</v>
      </c>
      <c r="AZ2" s="380" t="s">
        <v>37</v>
      </c>
      <c r="BA2" s="380" t="s">
        <v>38</v>
      </c>
    </row>
    <row r="3" spans="1:55" s="220" customFormat="1" x14ac:dyDescent="0.2">
      <c r="B3" s="12"/>
      <c r="C3" s="373" t="s">
        <v>96</v>
      </c>
      <c r="D3" s="373" t="s">
        <v>39</v>
      </c>
      <c r="E3" s="373" t="s">
        <v>40</v>
      </c>
      <c r="F3" s="373" t="s">
        <v>41</v>
      </c>
      <c r="G3" s="373" t="s">
        <v>42</v>
      </c>
      <c r="H3" s="373" t="s">
        <v>43</v>
      </c>
      <c r="I3" s="373" t="s">
        <v>44</v>
      </c>
      <c r="J3" s="373" t="s">
        <v>45</v>
      </c>
      <c r="K3" s="373" t="s">
        <v>46</v>
      </c>
      <c r="L3" s="373" t="s">
        <v>47</v>
      </c>
      <c r="M3" s="373" t="s">
        <v>48</v>
      </c>
      <c r="N3" s="373" t="s">
        <v>49</v>
      </c>
      <c r="O3" s="373" t="s">
        <v>50</v>
      </c>
      <c r="P3" s="373" t="s">
        <v>51</v>
      </c>
      <c r="Q3" s="373" t="s">
        <v>52</v>
      </c>
      <c r="R3" s="373" t="s">
        <v>53</v>
      </c>
      <c r="S3" s="373" t="s">
        <v>54</v>
      </c>
      <c r="T3" s="373" t="s">
        <v>55</v>
      </c>
      <c r="U3" s="373" t="s">
        <v>56</v>
      </c>
      <c r="V3" s="373" t="s">
        <v>57</v>
      </c>
      <c r="W3" s="373" t="s">
        <v>58</v>
      </c>
      <c r="X3" s="373" t="s">
        <v>59</v>
      </c>
      <c r="Y3" s="373" t="s">
        <v>60</v>
      </c>
      <c r="Z3" s="373" t="s">
        <v>61</v>
      </c>
      <c r="AA3" s="373" t="s">
        <v>62</v>
      </c>
      <c r="AB3" s="373" t="s">
        <v>63</v>
      </c>
      <c r="AC3" s="373" t="s">
        <v>64</v>
      </c>
      <c r="AD3" s="373" t="s">
        <v>65</v>
      </c>
      <c r="AE3" s="373" t="s">
        <v>66</v>
      </c>
      <c r="AF3" s="373" t="s">
        <v>67</v>
      </c>
      <c r="AG3" s="373" t="s">
        <v>68</v>
      </c>
      <c r="AH3" s="373" t="s">
        <v>69</v>
      </c>
      <c r="AI3" s="373" t="s">
        <v>70</v>
      </c>
      <c r="AJ3" s="373" t="s">
        <v>71</v>
      </c>
      <c r="AK3" s="373" t="s">
        <v>72</v>
      </c>
      <c r="AL3" s="373" t="s">
        <v>73</v>
      </c>
      <c r="AM3" s="373" t="s">
        <v>74</v>
      </c>
      <c r="AN3" s="373" t="s">
        <v>75</v>
      </c>
      <c r="AO3" s="373" t="s">
        <v>76</v>
      </c>
      <c r="AP3" s="373" t="s">
        <v>77</v>
      </c>
      <c r="AQ3" s="373" t="s">
        <v>78</v>
      </c>
      <c r="AR3" s="373" t="s">
        <v>79</v>
      </c>
      <c r="AS3" s="373" t="s">
        <v>80</v>
      </c>
      <c r="AT3" s="373" t="s">
        <v>81</v>
      </c>
      <c r="AU3" s="373" t="s">
        <v>82</v>
      </c>
      <c r="AV3" s="373" t="s">
        <v>83</v>
      </c>
      <c r="AW3" s="373" t="s">
        <v>84</v>
      </c>
      <c r="AX3" s="373" t="s">
        <v>85</v>
      </c>
      <c r="AY3" s="373" t="s">
        <v>86</v>
      </c>
      <c r="AZ3" s="373" t="s">
        <v>87</v>
      </c>
      <c r="BA3" s="373" t="s">
        <v>88</v>
      </c>
      <c r="BC3" s="9"/>
    </row>
    <row r="4" spans="1:55" x14ac:dyDescent="0.2">
      <c r="A4" s="7" t="s">
        <v>104</v>
      </c>
      <c r="C4" s="503">
        <f>C5-C6+C7-C8-C9+C10-C11-C12-C13-C14-C15-C16-C17-C18-C19+C20-C21-C22-C23+C24-C25+C26+C27-C28-C29</f>
        <v>5378.3009511068794</v>
      </c>
      <c r="D4" s="503">
        <f t="shared" ref="D4:BA4" si="43">D5-D6+D7-D8-D9+D10-D11-D12-D13-D14-D15-D16-D17-D18-D19+D20-D21-D22-D23+D24-D25+D26+D27-D28-D29</f>
        <v>-4.5300531228877574</v>
      </c>
      <c r="E4" s="503">
        <f t="shared" si="43"/>
        <v>47.27860338488879</v>
      </c>
      <c r="F4" s="503">
        <f t="shared" si="43"/>
        <v>110.34822283115543</v>
      </c>
      <c r="G4" s="503">
        <f t="shared" si="43"/>
        <v>2.2903349401060922</v>
      </c>
      <c r="H4" s="503">
        <f t="shared" si="43"/>
        <v>920.43334360460199</v>
      </c>
      <c r="I4" s="503">
        <f t="shared" si="43"/>
        <v>109.85710231135877</v>
      </c>
      <c r="J4" s="503">
        <f t="shared" si="43"/>
        <v>107.28003256083097</v>
      </c>
      <c r="K4" s="503">
        <f t="shared" si="43"/>
        <v>20.258364278717586</v>
      </c>
      <c r="L4" s="503">
        <f t="shared" si="43"/>
        <v>377.27592281534544</v>
      </c>
      <c r="M4" s="503">
        <f t="shared" si="43"/>
        <v>119.11366065890915</v>
      </c>
      <c r="N4" s="503">
        <f t="shared" si="43"/>
        <v>41.056208615165353</v>
      </c>
      <c r="O4" s="503">
        <f t="shared" si="43"/>
        <v>30.653835647225364</v>
      </c>
      <c r="P4" s="503">
        <f t="shared" si="43"/>
        <v>230.75629107641441</v>
      </c>
      <c r="Q4" s="503">
        <f t="shared" si="43"/>
        <v>47.164891050486276</v>
      </c>
      <c r="R4" s="503">
        <f t="shared" si="43"/>
        <v>33.143092528316572</v>
      </c>
      <c r="S4" s="503">
        <f t="shared" si="43"/>
        <v>34.736350922387246</v>
      </c>
      <c r="T4" s="503">
        <f t="shared" si="43"/>
        <v>9.1865604976363286</v>
      </c>
      <c r="U4" s="503">
        <f t="shared" si="43"/>
        <v>-43.884964738304674</v>
      </c>
      <c r="V4" s="503">
        <f t="shared" si="43"/>
        <v>28.403820493324336</v>
      </c>
      <c r="W4" s="503">
        <f t="shared" si="43"/>
        <v>160.21528732605168</v>
      </c>
      <c r="X4" s="503">
        <f t="shared" si="43"/>
        <v>231.442089015204</v>
      </c>
      <c r="Y4" s="503">
        <f t="shared" si="43"/>
        <v>162.50681350535845</v>
      </c>
      <c r="Z4" s="503">
        <f t="shared" si="43"/>
        <v>117.85328200240129</v>
      </c>
      <c r="AA4" s="503">
        <f t="shared" si="43"/>
        <v>0.99000894637460846</v>
      </c>
      <c r="AB4" s="503">
        <f t="shared" si="43"/>
        <v>76.608701237419496</v>
      </c>
      <c r="AC4" s="503">
        <f t="shared" si="43"/>
        <v>13.885621811493738</v>
      </c>
      <c r="AD4" s="503">
        <f t="shared" si="43"/>
        <v>24.346932534545971</v>
      </c>
      <c r="AE4" s="503">
        <f t="shared" si="43"/>
        <v>67.273375799738062</v>
      </c>
      <c r="AF4" s="503">
        <f t="shared" si="43"/>
        <v>35.89283096637304</v>
      </c>
      <c r="AG4" s="503">
        <f t="shared" si="43"/>
        <v>237.63527823821659</v>
      </c>
      <c r="AH4" s="503">
        <f t="shared" si="43"/>
        <v>19.071527847942473</v>
      </c>
      <c r="AI4" s="503">
        <f t="shared" si="43"/>
        <v>562.51640110977928</v>
      </c>
      <c r="AJ4" s="503">
        <f t="shared" si="43"/>
        <v>126.34215227351501</v>
      </c>
      <c r="AK4" s="503">
        <f t="shared" si="43"/>
        <v>-5.2179494821230277</v>
      </c>
      <c r="AL4" s="503">
        <f t="shared" si="43"/>
        <v>169.85286003498874</v>
      </c>
      <c r="AM4" s="503">
        <f t="shared" si="43"/>
        <v>22.609205705903278</v>
      </c>
      <c r="AN4" s="503">
        <f t="shared" si="43"/>
        <v>96.42803788197466</v>
      </c>
      <c r="AO4" s="503">
        <f t="shared" si="43"/>
        <v>209.22964755843145</v>
      </c>
      <c r="AP4" s="503">
        <f t="shared" si="43"/>
        <v>28.401916378371705</v>
      </c>
      <c r="AQ4" s="503">
        <f t="shared" si="43"/>
        <v>33.282854041852431</v>
      </c>
      <c r="AR4" s="503">
        <f t="shared" si="43"/>
        <v>18.748538972451438</v>
      </c>
      <c r="AS4" s="503">
        <f t="shared" si="43"/>
        <v>73.322603688384987</v>
      </c>
      <c r="AT4" s="503">
        <f t="shared" si="43"/>
        <v>157.93639708107366</v>
      </c>
      <c r="AU4" s="503">
        <f t="shared" si="43"/>
        <v>47.485012947426455</v>
      </c>
      <c r="AV4" s="503">
        <f t="shared" si="43"/>
        <v>15.965923456884267</v>
      </c>
      <c r="AW4" s="503">
        <f t="shared" si="43"/>
        <v>181.61356273405471</v>
      </c>
      <c r="AX4" s="503">
        <f t="shared" si="43"/>
        <v>198.95089002340492</v>
      </c>
      <c r="AY4" s="503">
        <f t="shared" si="43"/>
        <v>-9.1340526785399732</v>
      </c>
      <c r="AZ4" s="503">
        <f t="shared" si="43"/>
        <v>97.391484122388206</v>
      </c>
      <c r="BA4" s="503">
        <f t="shared" si="43"/>
        <v>-18.100299994369678</v>
      </c>
    </row>
    <row r="5" spans="1:55" s="381" customFormat="1" x14ac:dyDescent="0.2">
      <c r="A5" s="381" t="s">
        <v>105</v>
      </c>
      <c r="B5" s="381" t="s">
        <v>131</v>
      </c>
      <c r="C5" s="503">
        <f>'Benefit of PCE'!D4</f>
        <v>10688.651</v>
      </c>
      <c r="D5" s="503">
        <f>'Benefit of PCE'!E4</f>
        <v>135.79499999999999</v>
      </c>
      <c r="E5" s="503">
        <f>'Benefit of PCE'!F4</f>
        <v>25.437999999999999</v>
      </c>
      <c r="F5" s="503">
        <f>'Benefit of PCE'!G4</f>
        <v>221.613</v>
      </c>
      <c r="G5" s="503">
        <f>'Benefit of PCE'!H4</f>
        <v>80.010000000000005</v>
      </c>
      <c r="H5" s="503">
        <f>'Benefit of PCE'!I4</f>
        <v>1404.8910000000001</v>
      </c>
      <c r="I5" s="503">
        <f>'Benefit of PCE'!J4</f>
        <v>178.017</v>
      </c>
      <c r="J5" s="503">
        <f>'Benefit of PCE'!K4</f>
        <v>149.79900000000001</v>
      </c>
      <c r="K5" s="503">
        <f>'Benefit of PCE'!L4</f>
        <v>33.731000000000002</v>
      </c>
      <c r="L5" s="503">
        <f>'Benefit of PCE'!M4</f>
        <v>694.56</v>
      </c>
      <c r="M5" s="503">
        <f>'Benefit of PCE'!N4</f>
        <v>304.88200000000001</v>
      </c>
      <c r="N5" s="503">
        <f>'Benefit of PCE'!O4</f>
        <v>50.62</v>
      </c>
      <c r="O5" s="503">
        <f>'Benefit of PCE'!P4</f>
        <v>49.238</v>
      </c>
      <c r="P5" s="503">
        <f>'Benefit of PCE'!Q4</f>
        <v>445.298</v>
      </c>
      <c r="Q5" s="503">
        <f>'Benefit of PCE'!R4</f>
        <v>201.214</v>
      </c>
      <c r="R5" s="503">
        <f>'Benefit of PCE'!S4</f>
        <v>95.521000000000001</v>
      </c>
      <c r="S5" s="503">
        <f>'Benefit of PCE'!T4</f>
        <v>88.322000000000003</v>
      </c>
      <c r="T5" s="503">
        <f>'Benefit of PCE'!U4</f>
        <v>127.46599999999999</v>
      </c>
      <c r="U5" s="503">
        <f>'Benefit of PCE'!V4</f>
        <v>147.58799999999999</v>
      </c>
      <c r="V5" s="503">
        <f>'Benefit of PCE'!W4</f>
        <v>48.161000000000001</v>
      </c>
      <c r="W5" s="503">
        <f>'Benefit of PCE'!X4</f>
        <v>226.12799999999999</v>
      </c>
      <c r="X5" s="503">
        <f>'Benefit of PCE'!Y4</f>
        <v>295.90600000000001</v>
      </c>
      <c r="Y5" s="503">
        <f>'Benefit of PCE'!Z4</f>
        <v>308.26600000000002</v>
      </c>
      <c r="Z5" s="503">
        <f>'Benefit of PCE'!AA4</f>
        <v>193.46</v>
      </c>
      <c r="AA5" s="503">
        <f>'Benefit of PCE'!AB4</f>
        <v>83.549000000000007</v>
      </c>
      <c r="AB5" s="503">
        <f>'Benefit of PCE'!AC4</f>
        <v>193.565</v>
      </c>
      <c r="AC5" s="503">
        <f>'Benefit of PCE'!AD4</f>
        <v>35.433</v>
      </c>
      <c r="AD5" s="503">
        <f>'Benefit of PCE'!AE4</f>
        <v>59.222000000000001</v>
      </c>
      <c r="AE5" s="503">
        <f>'Benefit of PCE'!AF4</f>
        <v>93.35</v>
      </c>
      <c r="AF5" s="503">
        <f>'Benefit of PCE'!AG4</f>
        <v>50.588000000000001</v>
      </c>
      <c r="AG5" s="503">
        <f>'Benefit of PCE'!AH4</f>
        <v>357.39299999999997</v>
      </c>
      <c r="AH5" s="503">
        <f>'Benefit of PCE'!AI4</f>
        <v>65.370999999999995</v>
      </c>
      <c r="AI5" s="503">
        <f>'Benefit of PCE'!AJ4</f>
        <v>759.28399999999999</v>
      </c>
      <c r="AJ5" s="503">
        <f>'Benefit of PCE'!AK4</f>
        <v>295.952</v>
      </c>
      <c r="AK5" s="503">
        <f>'Benefit of PCE'!AL4</f>
        <v>25.437999999999999</v>
      </c>
      <c r="AL5" s="503">
        <f>'Benefit of PCE'!AM4</f>
        <v>358.50099999999998</v>
      </c>
      <c r="AM5" s="503">
        <f>'Benefit of PCE'!AN4</f>
        <v>115.96</v>
      </c>
      <c r="AN5" s="503">
        <f>'Benefit of PCE'!AO4</f>
        <v>135.232</v>
      </c>
      <c r="AO5" s="503">
        <f>'Benefit of PCE'!AP4</f>
        <v>438.07299999999998</v>
      </c>
      <c r="AP5" s="503">
        <f>'Benefit of PCE'!AQ4</f>
        <v>38.293999999999997</v>
      </c>
      <c r="AQ5" s="503">
        <f>'Benefit of PCE'!AR4</f>
        <v>143.25299999999999</v>
      </c>
      <c r="AR5" s="503">
        <f>'Benefit of PCE'!AS4</f>
        <v>27.742000000000001</v>
      </c>
      <c r="AS5" s="503">
        <f>'Benefit of PCE'!AT4</f>
        <v>197.82400000000001</v>
      </c>
      <c r="AT5" s="503">
        <f>'Benefit of PCE'!AU4</f>
        <v>785.23199999999997</v>
      </c>
      <c r="AU5" s="503">
        <f>'Benefit of PCE'!AV4</f>
        <v>84.093999999999994</v>
      </c>
      <c r="AV5" s="503">
        <f>'Benefit of PCE'!AW4</f>
        <v>23.34</v>
      </c>
      <c r="AW5" s="503">
        <f>'Benefit of PCE'!AX4</f>
        <v>292.84300000000002</v>
      </c>
      <c r="AX5" s="503">
        <f>'Benefit of PCE'!AY4</f>
        <v>260.85399999999998</v>
      </c>
      <c r="AY5" s="503">
        <f>'Benefit of PCE'!AZ4</f>
        <v>57.085000000000001</v>
      </c>
      <c r="AZ5" s="503">
        <f>'Benefit of PCE'!BA4</f>
        <v>185.80500000000001</v>
      </c>
      <c r="BA5" s="503">
        <f>'Benefit of PCE'!BB4</f>
        <v>19.45</v>
      </c>
      <c r="BB5" s="385"/>
      <c r="BC5" s="385"/>
    </row>
    <row r="6" spans="1:55" x14ac:dyDescent="0.2">
      <c r="A6" s="7" t="s">
        <v>1018</v>
      </c>
      <c r="B6" s="381" t="s">
        <v>131</v>
      </c>
      <c r="C6" s="502">
        <f>'Cost of Inequality'!C4</f>
        <v>2451.9572741954325</v>
      </c>
      <c r="D6" s="502">
        <f>'Cost of Inequality'!D4</f>
        <v>32.263859556494197</v>
      </c>
      <c r="E6" s="502">
        <f>'Cost of Inequality'!E4</f>
        <v>3.0346869968284977</v>
      </c>
      <c r="F6" s="502">
        <f>'Cost of Inequality'!F4</f>
        <v>47.694971739130438</v>
      </c>
      <c r="G6" s="502">
        <f>'Cost of Inequality'!G4</f>
        <v>18.34558923996584</v>
      </c>
      <c r="H6" s="502">
        <f>'Cost of Inequality'!H4</f>
        <v>350.93079426433928</v>
      </c>
      <c r="I6" s="502">
        <f>'Cost of Inequality'!I4</f>
        <v>37.946954228421959</v>
      </c>
      <c r="J6" s="502">
        <f>'Cost of Inequality'!J4</f>
        <v>38.505649516361402</v>
      </c>
      <c r="K6" s="502">
        <f>'Cost of Inequality'!K4</f>
        <v>6.0813837420526831</v>
      </c>
      <c r="L6" s="502">
        <f>'Cost of Inequality'!L4</f>
        <v>173.38735398046151</v>
      </c>
      <c r="M6" s="502">
        <f>'Cost of Inequality'!M4</f>
        <v>74.143211740041949</v>
      </c>
      <c r="N6" s="502">
        <f>'Cost of Inequality'!N4</f>
        <v>8.1326249709369876</v>
      </c>
      <c r="O6" s="502">
        <f>'Cost of Inequality'!O4</f>
        <v>8.0923564814814881</v>
      </c>
      <c r="P6" s="502">
        <f>'Cost of Inequality'!P4</f>
        <v>104.57613056379824</v>
      </c>
      <c r="Q6" s="502">
        <f>'Cost of Inequality'!Q4</f>
        <v>38.384468504819552</v>
      </c>
      <c r="R6" s="502">
        <f>'Cost of Inequality'!R4</f>
        <v>16.066896313364055</v>
      </c>
      <c r="S6" s="502">
        <f>'Cost of Inequality'!S4</f>
        <v>16.542977037370548</v>
      </c>
      <c r="T6" s="502">
        <f>'Cost of Inequality'!T4</f>
        <v>29.748382671480144</v>
      </c>
      <c r="U6" s="502">
        <f>'Cost of Inequality'!U4</f>
        <v>37.415816377171211</v>
      </c>
      <c r="V6" s="502">
        <f>'Cost of Inequality'!V4</f>
        <v>9.6022929696163288</v>
      </c>
      <c r="W6" s="502">
        <f>'Cost of Inequality'!W4</f>
        <v>43.342043887147327</v>
      </c>
      <c r="X6" s="502">
        <f>'Cost of Inequality'!X4</f>
        <v>72.007307901907382</v>
      </c>
      <c r="Y6" s="502">
        <f>'Cost of Inequality'!Y4</f>
        <v>66.973662619254156</v>
      </c>
      <c r="Z6" s="502">
        <f>'Cost of Inequality'!Z4</f>
        <v>36.022984670874678</v>
      </c>
      <c r="AA6" s="502">
        <f>'Cost of Inequality'!AA4</f>
        <v>19.850607180570222</v>
      </c>
      <c r="AB6" s="502">
        <f>'Cost of Inequality'!AB4</f>
        <v>42.020942311862967</v>
      </c>
      <c r="AC6" s="502">
        <f>'Cost of Inequality'!AC4</f>
        <v>6.0344410480349353</v>
      </c>
      <c r="AD6" s="502">
        <f>'Cost of Inequality'!AD4</f>
        <v>11.361820908887395</v>
      </c>
      <c r="AE6" s="502">
        <f>'Cost of Inequality'!AE4</f>
        <v>18.89275298276624</v>
      </c>
      <c r="AF6" s="502">
        <f>'Cost of Inequality'!AF4</f>
        <v>8.5768014722797332</v>
      </c>
      <c r="AG6" s="502">
        <f>'Cost of Inequality'!AG4</f>
        <v>82.533875585854275</v>
      </c>
      <c r="AH6" s="502">
        <f>'Cost of Inequality'!AH4</f>
        <v>16.420717900850448</v>
      </c>
      <c r="AI6" s="502">
        <f>'Cost of Inequality'!AI4</f>
        <v>214.67536896483216</v>
      </c>
      <c r="AJ6" s="502">
        <f>'Cost of Inequality'!AJ4</f>
        <v>69.406893977947419</v>
      </c>
      <c r="AK6" s="502">
        <f>'Cost of Inequality'!AK4</f>
        <v>4.7925008992805722</v>
      </c>
      <c r="AL6" s="502">
        <f>'Cost of Inequality'!AL4</f>
        <v>76.788198519808418</v>
      </c>
      <c r="AM6" s="502">
        <f>'Cost of Inequality'!AM4</f>
        <v>25.213067418166048</v>
      </c>
      <c r="AN6" s="502">
        <f>'Cost of Inequality'!AN4</f>
        <v>28.780294810292204</v>
      </c>
      <c r="AO6" s="502">
        <f>'Cost of Inequality'!AO4</f>
        <v>95.101078507915872</v>
      </c>
      <c r="AP6" s="502">
        <f>'Cost of Inequality'!AP4</f>
        <v>8.7173333333333325</v>
      </c>
      <c r="AQ6" s="502">
        <f>'Cost of Inequality'!AQ4</f>
        <v>31.99152624784854</v>
      </c>
      <c r="AR6" s="502">
        <f>'Cost of Inequality'!AR4</f>
        <v>4.5808945420906575</v>
      </c>
      <c r="AS6" s="502">
        <f>'Cost of Inequality'!AS4</f>
        <v>47.66743145500422</v>
      </c>
      <c r="AT6" s="502">
        <f>'Cost of Inequality'!AT4</f>
        <v>191.08244644728575</v>
      </c>
      <c r="AU6" s="502">
        <f>'Cost of Inequality'!AU4</f>
        <v>12.646755942574714</v>
      </c>
      <c r="AV6" s="502">
        <f>'Cost of Inequality'!AV4</f>
        <v>3.7816434540389992</v>
      </c>
      <c r="AW6" s="502">
        <f>'Cost of Inequality'!AW4</f>
        <v>64.612596286701233</v>
      </c>
      <c r="AX6" s="502">
        <f>'Cost of Inequality'!AX4</f>
        <v>49.192291750955292</v>
      </c>
      <c r="AY6" s="502">
        <f>'Cost of Inequality'!AY4</f>
        <v>13.433898538445249</v>
      </c>
      <c r="AZ6" s="502">
        <f>'Cost of Inequality'!AZ4</f>
        <v>32.313913043478266</v>
      </c>
      <c r="BA6" s="502">
        <f>'Cost of Inequality'!BA4</f>
        <v>2.244780691007108</v>
      </c>
    </row>
    <row r="7" spans="1:55" x14ac:dyDescent="0.2">
      <c r="A7" s="7" t="s">
        <v>1019</v>
      </c>
      <c r="B7" s="7" t="s">
        <v>131</v>
      </c>
      <c r="C7" s="502">
        <f>'Benefit of Consumer Durables'!D4</f>
        <v>1939.946471925291</v>
      </c>
      <c r="D7" s="502">
        <f>'Benefit of Consumer Durables'!E4</f>
        <v>25.281958524664525</v>
      </c>
      <c r="E7" s="502">
        <f>'Benefit of Consumer Durables'!F4</f>
        <v>4.6799243572147118</v>
      </c>
      <c r="F7" s="502">
        <f>'Benefit of Consumer Durables'!G4</f>
        <v>34.157086452062195</v>
      </c>
      <c r="G7" s="502">
        <f>'Benefit of Consumer Durables'!H4</f>
        <v>14.509780708435358</v>
      </c>
      <c r="H7" s="502">
        <f>'Benefit of Consumer Durables'!I4</f>
        <v>250.7235318625319</v>
      </c>
      <c r="I7" s="502">
        <f>'Benefit of Consumer Durables'!J4</f>
        <v>32.529202090159899</v>
      </c>
      <c r="J7" s="502">
        <f>'Benefit of Consumer Durables'!K4</f>
        <v>31.606874203611746</v>
      </c>
      <c r="K7" s="502">
        <f>'Benefit of Consumer Durables'!L4</f>
        <v>5.9181738939751591</v>
      </c>
      <c r="L7" s="502">
        <f>'Benefit of Consumer Durables'!M4</f>
        <v>116.47336059234213</v>
      </c>
      <c r="M7" s="502">
        <f>'Benefit of Consumer Durables'!N4</f>
        <v>53.84707728531319</v>
      </c>
      <c r="N7" s="502">
        <f>'Benefit of Consumer Durables'!O4</f>
        <v>8.471866604644271</v>
      </c>
      <c r="O7" s="502">
        <f>'Benefit of Consumer Durables'!P4</f>
        <v>7.8074718938124708</v>
      </c>
      <c r="P7" s="502">
        <f>'Benefit of Consumer Durables'!Q4</f>
        <v>86.581481339819547</v>
      </c>
      <c r="Q7" s="502">
        <f>'Benefit of Consumer Durables'!R4</f>
        <v>35.761464793781435</v>
      </c>
      <c r="R7" s="502">
        <f>'Benefit of Consumer Durables'!S4</f>
        <v>18.153107814917202</v>
      </c>
      <c r="S7" s="502">
        <f>'Benefit of Consumer Durables'!T4</f>
        <v>17.144136363399074</v>
      </c>
      <c r="T7" s="502">
        <f>'Benefit of Consumer Durables'!U4</f>
        <v>22.440354472155903</v>
      </c>
      <c r="U7" s="502">
        <f>'Benefit of Consumer Durables'!V4</f>
        <v>25.373863720741159</v>
      </c>
      <c r="V7" s="502">
        <f>'Benefit of Consumer Durables'!W4</f>
        <v>7.8838924399668491</v>
      </c>
      <c r="W7" s="502">
        <f>'Benefit of Consumer Durables'!X4</f>
        <v>45.032559113139854</v>
      </c>
      <c r="X7" s="502">
        <f>'Benefit of Consumer Durables'!Y4</f>
        <v>53.132320408265052</v>
      </c>
      <c r="Y7" s="502">
        <f>'Benefit of Consumer Durables'!Z4</f>
        <v>58.154743247227934</v>
      </c>
      <c r="Z7" s="502">
        <f>'Benefit of Consumer Durables'!AA4</f>
        <v>35.363502271060099</v>
      </c>
      <c r="AA7" s="502">
        <f>'Benefit of Consumer Durables'!AB4</f>
        <v>14.251317905200981</v>
      </c>
      <c r="AB7" s="502">
        <f>'Benefit of Consumer Durables'!AC4</f>
        <v>34.591755751036793</v>
      </c>
      <c r="AC7" s="502">
        <f>'Benefit of Consumer Durables'!AD4</f>
        <v>5.1365378250581619</v>
      </c>
      <c r="AD7" s="502">
        <f>'Benefit of Consumer Durables'!AE4</f>
        <v>11.26066498872432</v>
      </c>
      <c r="AE7" s="502">
        <f>'Benefit of Consumer Durables'!AF4</f>
        <v>16.294339286168565</v>
      </c>
      <c r="AF7" s="502">
        <f>'Benefit of Consumer Durables'!AG4</f>
        <v>9.4038647465824958</v>
      </c>
      <c r="AG7" s="502">
        <f>'Benefit of Consumer Durables'!AH4</f>
        <v>71.855637902544132</v>
      </c>
      <c r="AH7" s="502">
        <f>'Benefit of Consumer Durables'!AI4</f>
        <v>10.275537627122871</v>
      </c>
      <c r="AI7" s="502">
        <f>'Benefit of Consumer Durables'!AJ4</f>
        <v>148.56444208121044</v>
      </c>
      <c r="AJ7" s="502">
        <f>'Benefit of Consumer Durables'!AK4</f>
        <v>52.10763418243868</v>
      </c>
      <c r="AK7" s="502">
        <f>'Benefit of Consumer Durables'!AL4</f>
        <v>3.9454683861529234</v>
      </c>
      <c r="AL7" s="502">
        <f>'Benefit of Consumer Durables'!AM4</f>
        <v>67.530034390607497</v>
      </c>
      <c r="AM7" s="502">
        <f>'Benefit of Consumer Durables'!AN4</f>
        <v>20.702645714751981</v>
      </c>
      <c r="AN7" s="502">
        <f>'Benefit of Consumer Durables'!AO4</f>
        <v>21.529182473051151</v>
      </c>
      <c r="AO7" s="502">
        <f>'Benefit of Consumer Durables'!AP4</f>
        <v>83.033446169629769</v>
      </c>
      <c r="AP7" s="502">
        <f>'Benefit of Consumer Durables'!AQ4</f>
        <v>7.1899612711617698</v>
      </c>
      <c r="AQ7" s="502">
        <f>'Benefit of Consumer Durables'!AR4</f>
        <v>23.421088703658608</v>
      </c>
      <c r="AR7" s="502">
        <f>'Benefit of Consumer Durables'!AS4</f>
        <v>4.8560987107663598</v>
      </c>
      <c r="AS7" s="502">
        <f>'Benefit of Consumer Durables'!AT4</f>
        <v>35.064992915453665</v>
      </c>
      <c r="AT7" s="502">
        <f>'Benefit of Consumer Durables'!AU4</f>
        <v>143.3390170900112</v>
      </c>
      <c r="AU7" s="502">
        <f>'Benefit of Consumer Durables'!AV4</f>
        <v>13.518520422240631</v>
      </c>
      <c r="AV7" s="502">
        <f>'Benefit of Consumer Durables'!AW4</f>
        <v>3.9903692733973473</v>
      </c>
      <c r="AW7" s="502">
        <f>'Benefit of Consumer Durables'!AX4</f>
        <v>55.597189122786418</v>
      </c>
      <c r="AX7" s="502">
        <f>'Benefit of Consumer Durables'!AY4</f>
        <v>43.885889539341136</v>
      </c>
      <c r="AY7" s="502">
        <f>'Benefit of Consumer Durables'!AZ4</f>
        <v>9.0341838018726488</v>
      </c>
      <c r="AZ7" s="502">
        <f>'Benefit of Consumer Durables'!BA4</f>
        <v>34.744665802929873</v>
      </c>
      <c r="BA7" s="502">
        <f>'Benefit of Consumer Durables'!BB4</f>
        <v>3.7942513881490307</v>
      </c>
    </row>
    <row r="8" spans="1:55" x14ac:dyDescent="0.2">
      <c r="A8" s="7" t="s">
        <v>106</v>
      </c>
      <c r="B8" s="7" t="s">
        <v>131</v>
      </c>
      <c r="C8" s="502">
        <f>'Cost Consumer Durables'!D4</f>
        <v>1124.9454196355707</v>
      </c>
      <c r="D8" s="502">
        <f>'Cost Consumer Durables'!E4</f>
        <v>14.37175299839288</v>
      </c>
      <c r="E8" s="502">
        <f>'Cost Consumer Durables'!F4</f>
        <v>2.9831440558474149</v>
      </c>
      <c r="F8" s="502">
        <f>'Cost Consumer Durables'!G4</f>
        <v>19.635360794402374</v>
      </c>
      <c r="G8" s="502">
        <f>'Cost Consumer Durables'!H4</f>
        <v>8.5659082369667896</v>
      </c>
      <c r="H8" s="502">
        <f>'Cost Consumer Durables'!I4</f>
        <v>144.17471065247551</v>
      </c>
      <c r="I8" s="502">
        <f>'Cost Consumer Durables'!J4</f>
        <v>19.360750031338839</v>
      </c>
      <c r="J8" s="502">
        <f>'Cost Consumer Durables'!K4</f>
        <v>17.744425481711431</v>
      </c>
      <c r="K8" s="502">
        <f>'Cost Consumer Durables'!L4</f>
        <v>3.3296283067021446</v>
      </c>
      <c r="L8" s="502">
        <f>'Cost Consumer Durables'!M4</f>
        <v>65.209382080371157</v>
      </c>
      <c r="M8" s="502">
        <f>'Cost Consumer Durables'!N4</f>
        <v>30.564801188571256</v>
      </c>
      <c r="N8" s="502">
        <f>'Cost Consumer Durables'!O4</f>
        <v>5.1474335736432346</v>
      </c>
      <c r="O8" s="502">
        <f>'Cost Consumer Durables'!P4</f>
        <v>4.5357540932660161</v>
      </c>
      <c r="P8" s="502">
        <f>'Cost Consumer Durables'!Q4</f>
        <v>48.583198276189613</v>
      </c>
      <c r="Q8" s="502">
        <f>'Cost Consumer Durables'!R4</f>
        <v>20.284394136817451</v>
      </c>
      <c r="R8" s="502">
        <f>'Cost Consumer Durables'!S4</f>
        <v>11.146338229651361</v>
      </c>
      <c r="S8" s="502">
        <f>'Cost Consumer Durables'!T4</f>
        <v>10.345645108366879</v>
      </c>
      <c r="T8" s="502">
        <f>'Cost Consumer Durables'!U4</f>
        <v>12.92102120267146</v>
      </c>
      <c r="U8" s="502">
        <f>'Cost Consumer Durables'!V4</f>
        <v>15.134359822254062</v>
      </c>
      <c r="V8" s="502">
        <f>'Cost Consumer Durables'!W4</f>
        <v>4.4243565042414321</v>
      </c>
      <c r="W8" s="502">
        <f>'Cost Consumer Durables'!X4</f>
        <v>26.210528583475476</v>
      </c>
      <c r="X8" s="502">
        <f>'Cost Consumer Durables'!Y4</f>
        <v>30.683106591480751</v>
      </c>
      <c r="Y8" s="502">
        <f>'Cost Consumer Durables'!Z4</f>
        <v>31.328536430601993</v>
      </c>
      <c r="Z8" s="502">
        <f>'Cost Consumer Durables'!AA4</f>
        <v>20.672990724204592</v>
      </c>
      <c r="AA8" s="502">
        <f>'Cost Consumer Durables'!AB4</f>
        <v>8.210404863629817</v>
      </c>
      <c r="AB8" s="502">
        <f>'Cost Consumer Durables'!AC4</f>
        <v>19.552420602806396</v>
      </c>
      <c r="AC8" s="502">
        <f>'Cost Consumer Durables'!AD4</f>
        <v>3.1375803395722941</v>
      </c>
      <c r="AD8" s="502">
        <f>'Cost Consumer Durables'!AE4</f>
        <v>6.8883681579829137</v>
      </c>
      <c r="AE8" s="502">
        <f>'Cost Consumer Durables'!AF4</f>
        <v>8.7125538613480096</v>
      </c>
      <c r="AF8" s="502">
        <f>'Cost Consumer Durables'!AG4</f>
        <v>5.3663853289137542</v>
      </c>
      <c r="AG8" s="502">
        <f>'Cost Consumer Durables'!AH4</f>
        <v>40.359568375596041</v>
      </c>
      <c r="AH8" s="502">
        <f>'Cost Consumer Durables'!AI4</f>
        <v>6.1928742060448938</v>
      </c>
      <c r="AI8" s="502">
        <f>'Cost Consumer Durables'!AJ4</f>
        <v>86.717543923313102</v>
      </c>
      <c r="AJ8" s="502">
        <f>'Cost Consumer Durables'!AK4</f>
        <v>30.189511438614847</v>
      </c>
      <c r="AK8" s="502">
        <f>'Cost Consumer Durables'!AL4</f>
        <v>2.7694022622561842</v>
      </c>
      <c r="AL8" s="502">
        <f>'Cost Consumer Durables'!AM4</f>
        <v>38.213714456027837</v>
      </c>
      <c r="AM8" s="502">
        <f>'Cost Consumer Durables'!AN4</f>
        <v>12.628070432292496</v>
      </c>
      <c r="AN8" s="502">
        <f>'Cost Consumer Durables'!AO4</f>
        <v>12.50574944017648</v>
      </c>
      <c r="AO8" s="502">
        <f>'Cost Consumer Durables'!AP4</f>
        <v>47.825019727032213</v>
      </c>
      <c r="AP8" s="502">
        <f>'Cost Consumer Durables'!AQ4</f>
        <v>4.0156151599690713</v>
      </c>
      <c r="AQ8" s="502">
        <f>'Cost Consumer Durables'!AR4</f>
        <v>13.68314784494326</v>
      </c>
      <c r="AR8" s="502">
        <f>'Cost Consumer Durables'!AS4</f>
        <v>3.1634471890185196</v>
      </c>
      <c r="AS8" s="502">
        <f>'Cost Consumer Durables'!AT4</f>
        <v>20.353194154078825</v>
      </c>
      <c r="AT8" s="502">
        <f>'Cost Consumer Durables'!AU4</f>
        <v>90.24189314517902</v>
      </c>
      <c r="AU8" s="502">
        <f>'Cost Consumer Durables'!AV4</f>
        <v>8.2378715760311714</v>
      </c>
      <c r="AV8" s="502">
        <f>'Cost Consumer Durables'!AW4</f>
        <v>2.3030480353717979</v>
      </c>
      <c r="AW8" s="502">
        <f>'Cost Consumer Durables'!AX4</f>
        <v>32.714225462971811</v>
      </c>
      <c r="AX8" s="502">
        <f>'Cost Consumer Durables'!AY4</f>
        <v>25.960970005731049</v>
      </c>
      <c r="AY8" s="502">
        <f>'Cost Consumer Durables'!AZ4</f>
        <v>5.3737658724083301</v>
      </c>
      <c r="AZ8" s="502">
        <f>'Cost Consumer Durables'!BA4</f>
        <v>19.880021280101282</v>
      </c>
      <c r="BA8" s="502">
        <f>'Cost Consumer Durables'!BB4</f>
        <v>2.3915253905149609</v>
      </c>
    </row>
    <row r="9" spans="1:55" x14ac:dyDescent="0.2">
      <c r="A9" s="7" t="s">
        <v>107</v>
      </c>
      <c r="B9" s="7" t="s">
        <v>131</v>
      </c>
      <c r="C9" s="502">
        <f>'Cost Underemployment'!C4</f>
        <v>433.12193644829352</v>
      </c>
      <c r="D9" s="502">
        <f>'Cost Underemployment'!D4</f>
        <v>5.4289516555983539</v>
      </c>
      <c r="E9" s="502">
        <f>'Cost Underemployment'!E4</f>
        <v>0.99277686581796298</v>
      </c>
      <c r="F9" s="502">
        <f>'Cost Underemployment'!F4</f>
        <v>9.3608064982400307</v>
      </c>
      <c r="G9" s="502">
        <f>'Cost Underemployment'!G4</f>
        <v>2.7090422587237462</v>
      </c>
      <c r="H9" s="502">
        <f>'Cost Underemployment'!H4</f>
        <v>78.801597279160433</v>
      </c>
      <c r="I9" s="502">
        <f>'Cost Underemployment'!I4</f>
        <v>7.6385502575024233</v>
      </c>
      <c r="J9" s="502">
        <f>'Cost Underemployment'!J4</f>
        <v>6.0609471292358883</v>
      </c>
      <c r="K9" s="502">
        <f>'Cost Underemployment'!K4</f>
        <v>1.0708478967476796</v>
      </c>
      <c r="L9" s="502">
        <f>'Cost Underemployment'!L4</f>
        <v>25.966201464425399</v>
      </c>
      <c r="M9" s="502">
        <f>'Cost Underemployment'!M4</f>
        <v>13.509350130122506</v>
      </c>
      <c r="N9" s="502">
        <f>'Cost Underemployment'!N4</f>
        <v>1.7269874368095421</v>
      </c>
      <c r="O9" s="502">
        <f>'Cost Underemployment'!O4</f>
        <v>1.8556155763951383</v>
      </c>
      <c r="P9" s="502">
        <f>'Cost Underemployment'!P4</f>
        <v>20.326001352439587</v>
      </c>
      <c r="Q9" s="502">
        <f>'Cost Underemployment'!Q4</f>
        <v>7.7184193905347946</v>
      </c>
      <c r="R9" s="502">
        <f>'Cost Underemployment'!R4</f>
        <v>2.8546633307277314</v>
      </c>
      <c r="S9" s="502">
        <f>'Cost Underemployment'!S4</f>
        <v>2.8324529882664193</v>
      </c>
      <c r="T9" s="502">
        <f>'Cost Underemployment'!T4</f>
        <v>4.8877342596642066</v>
      </c>
      <c r="U9" s="502">
        <f>'Cost Underemployment'!U4</f>
        <v>4.1941894941571141</v>
      </c>
      <c r="V9" s="502">
        <f>'Cost Underemployment'!V4</f>
        <v>1.6717934991468713</v>
      </c>
      <c r="W9" s="502">
        <f>'Cost Underemployment'!W4</f>
        <v>7.9047066143606308</v>
      </c>
      <c r="X9" s="502">
        <f>'Cost Underemployment'!X4</f>
        <v>10.59771642951964</v>
      </c>
      <c r="Y9" s="502">
        <f>'Cost Underemployment'!Y4</f>
        <v>15.017819331783487</v>
      </c>
      <c r="Z9" s="502">
        <f>'Cost Underemployment'!Z4</f>
        <v>6.8477975593596945</v>
      </c>
      <c r="AA9" s="502">
        <f>'Cost Underemployment'!AA4</f>
        <v>2.9617118560325562</v>
      </c>
      <c r="AB9" s="502">
        <f>'Cost Underemployment'!AB4</f>
        <v>6.8719468540009077</v>
      </c>
      <c r="AC9" s="502">
        <f>'Cost Underemployment'!AC4</f>
        <v>1.0998128887587044</v>
      </c>
      <c r="AD9" s="502">
        <f>'Cost Underemployment'!AD4</f>
        <v>1.3668772434610135</v>
      </c>
      <c r="AE9" s="502">
        <f>'Cost Underemployment'!AE4</f>
        <v>5.1681748516200487</v>
      </c>
      <c r="AF9" s="502">
        <f>'Cost Underemployment'!AF4</f>
        <v>1.4740090720861168</v>
      </c>
      <c r="AG9" s="502">
        <f>'Cost Underemployment'!AG4</f>
        <v>14.610935167958809</v>
      </c>
      <c r="AH9" s="502">
        <f>'Cost Underemployment'!AH4</f>
        <v>2.1640871977584282</v>
      </c>
      <c r="AI9" s="502">
        <f>'Cost Underemployment'!AI4</f>
        <v>28.147352962142776</v>
      </c>
      <c r="AJ9" s="502">
        <f>'Cost Underemployment'!AJ4</f>
        <v>13.43854101792536</v>
      </c>
      <c r="AK9" s="502">
        <f>'Cost Underemployment'!AK4</f>
        <v>0.38550705359819853</v>
      </c>
      <c r="AL9" s="502">
        <f>'Cost Underemployment'!AL4</f>
        <v>13.824253755090972</v>
      </c>
      <c r="AM9" s="502">
        <f>'Cost Underemployment'!AM4</f>
        <v>2.8365504430321007</v>
      </c>
      <c r="AN9" s="502">
        <f>'Cost Underemployment'!AN4</f>
        <v>5.9562912651197104</v>
      </c>
      <c r="AO9" s="502">
        <f>'Cost Underemployment'!AO4</f>
        <v>15.306970281163078</v>
      </c>
      <c r="AP9" s="502">
        <f>'Cost Underemployment'!AP4</f>
        <v>1.9369205205197078</v>
      </c>
      <c r="AQ9" s="502">
        <f>'Cost Underemployment'!AQ4</f>
        <v>5.974629412748679</v>
      </c>
      <c r="AR9" s="502">
        <f>'Cost Underemployment'!AR4</f>
        <v>0.57093356286096464</v>
      </c>
      <c r="AS9" s="502">
        <f>'Cost Underemployment'!AS4</f>
        <v>7.3889705507434398</v>
      </c>
      <c r="AT9" s="502">
        <f>'Cost Underemployment'!AT4</f>
        <v>29.447426562589666</v>
      </c>
      <c r="AU9" s="502">
        <f>'Cost Underemployment'!AU4</f>
        <v>2.8790397157629615</v>
      </c>
      <c r="AV9" s="502">
        <f>'Cost Underemployment'!AV4</f>
        <v>0.69939955063298298</v>
      </c>
      <c r="AW9" s="502">
        <f>'Cost Underemployment'!AW4</f>
        <v>9.4795090914973184</v>
      </c>
      <c r="AX9" s="502">
        <f>'Cost Underemployment'!AX4</f>
        <v>12.142088264996397</v>
      </c>
      <c r="AY9" s="502">
        <f>'Cost Underemployment'!AY4</f>
        <v>1.5626250385247717</v>
      </c>
      <c r="AZ9" s="502">
        <f>'Cost Underemployment'!AZ4</f>
        <v>7.0511527943668222</v>
      </c>
      <c r="BA9" s="502">
        <f>'Cost Underemployment'!BA4</f>
        <v>0.53364643878974527</v>
      </c>
    </row>
    <row r="10" spans="1:55" x14ac:dyDescent="0.2">
      <c r="A10" s="7" t="s">
        <v>108</v>
      </c>
      <c r="B10" s="7" t="s">
        <v>131</v>
      </c>
      <c r="C10" s="502">
        <f>'Benefit Net Cap Invest'!E4</f>
        <v>257.60000000000002</v>
      </c>
      <c r="D10" s="502">
        <f>'Benefit Net Cap Invest'!F4</f>
        <v>3.9792747771387331</v>
      </c>
      <c r="E10" s="502">
        <f>'Benefit Net Cap Invest'!G4</f>
        <v>0.59963037577570977</v>
      </c>
      <c r="F10" s="502">
        <f>'Benefit Net Cap Invest'!H4</f>
        <v>5.3573875109964408</v>
      </c>
      <c r="G10" s="502">
        <f>'Benefit Net Cap Invest'!I4</f>
        <v>2.434259427109851</v>
      </c>
      <c r="H10" s="502">
        <f>'Benefit Net Cap Invest'!J4</f>
        <v>31.216576279248294</v>
      </c>
      <c r="I10" s="502">
        <f>'Benefit Net Cap Invest'!K4</f>
        <v>4.2382368010969182</v>
      </c>
      <c r="J10" s="502">
        <f>'Benefit Net Cap Invest'!L4</f>
        <v>2.971160808044548</v>
      </c>
      <c r="K10" s="502">
        <f>'Benefit Net Cap Invest'!M4</f>
        <v>0.75228156075183839</v>
      </c>
      <c r="L10" s="502">
        <f>'Benefit Net Cap Invest'!N4</f>
        <v>15.807343869961796</v>
      </c>
      <c r="M10" s="502">
        <f>'Benefit Net Cap Invest'!O4</f>
        <v>8.1284351629930107</v>
      </c>
      <c r="N10" s="502">
        <f>'Benefit Net Cap Invest'!P4</f>
        <v>1.1416130330967356</v>
      </c>
      <c r="O10" s="502">
        <f>'Benefit Net Cap Invest'!Q4</f>
        <v>1.3119401677845517</v>
      </c>
      <c r="P10" s="502">
        <f>'Benefit Net Cap Invest'!R4</f>
        <v>10.652747664109683</v>
      </c>
      <c r="Q10" s="502">
        <f>'Benefit Net Cap Invest'!S4</f>
        <v>5.3980095572032898</v>
      </c>
      <c r="R10" s="502">
        <f>'Benefit Net Cap Invest'!T4</f>
        <v>2.5382334091167142</v>
      </c>
      <c r="S10" s="502">
        <f>'Benefit Net Cap Invest'!U4</f>
        <v>2.3777672972692736</v>
      </c>
      <c r="T10" s="502">
        <f>'Benefit Net Cap Invest'!V4</f>
        <v>3.6173767299790431</v>
      </c>
      <c r="U10" s="502">
        <f>'Benefit Net Cap Invest'!W4</f>
        <v>3.7896397862375881</v>
      </c>
      <c r="V10" s="502">
        <f>'Benefit Net Cap Invest'!X4</f>
        <v>1.100537863612528</v>
      </c>
      <c r="W10" s="502">
        <f>'Benefit Net Cap Invest'!Y4</f>
        <v>4.8373784333010699</v>
      </c>
      <c r="X10" s="502">
        <f>'Benefit Net Cap Invest'!Z4</f>
        <v>5.4731021076468398</v>
      </c>
      <c r="Y10" s="502">
        <f>'Benefit Net Cap Invest'!AA4</f>
        <v>8.1817338920397678</v>
      </c>
      <c r="Z10" s="502">
        <f>'Benefit Net Cap Invest'!AB4</f>
        <v>4.4295898499089281</v>
      </c>
      <c r="AA10" s="502">
        <f>'Benefit Net Cap Invest'!AC4</f>
        <v>2.4664626582018863</v>
      </c>
      <c r="AB10" s="502">
        <f>'Benefit Net Cap Invest'!AD4</f>
        <v>4.9777157654107524</v>
      </c>
      <c r="AC10" s="502">
        <f>'Benefit Net Cap Invest'!AE4</f>
        <v>0.82644632678836372</v>
      </c>
      <c r="AD10" s="502">
        <f>'Benefit Net Cap Invest'!AF4</f>
        <v>1.5260678386522102</v>
      </c>
      <c r="AE10" s="502">
        <f>'Benefit Net Cap Invest'!AG4</f>
        <v>2.2532138973840965</v>
      </c>
      <c r="AF10" s="502">
        <f>'Benefit Net Cap Invest'!AH4</f>
        <v>1.0916435589891149</v>
      </c>
      <c r="AG10" s="502">
        <f>'Benefit Net Cap Invest'!AI4</f>
        <v>7.3185398473228167</v>
      </c>
      <c r="AH10" s="502">
        <f>'Benefit Net Cap Invest'!AJ4</f>
        <v>1.7219297540065726</v>
      </c>
      <c r="AI10" s="502">
        <f>'Benefit Net Cap Invest'!AK4</f>
        <v>16.154727889804096</v>
      </c>
      <c r="AJ10" s="502">
        <f>'Benefit Net Cap Invest'!AL4</f>
        <v>7.9947704232034917</v>
      </c>
      <c r="AK10" s="502">
        <f>'Benefit Net Cap Invest'!AM4</f>
        <v>0.56722419184463779</v>
      </c>
      <c r="AL10" s="502">
        <f>'Benefit Net Cap Invest'!AN4</f>
        <v>9.5603270856796847</v>
      </c>
      <c r="AM10" s="502">
        <f>'Benefit Net Cap Invest'!AO4</f>
        <v>3.1347209152136282</v>
      </c>
      <c r="AN10" s="502">
        <f>'Benefit Net Cap Invest'!AP4</f>
        <v>3.2043594187501698</v>
      </c>
      <c r="AO10" s="502">
        <f>'Benefit Net Cap Invest'!AQ4</f>
        <v>10.556818069939084</v>
      </c>
      <c r="AP10" s="502">
        <f>'Benefit Net Cap Invest'!AR4</f>
        <v>0.87033301437742971</v>
      </c>
      <c r="AQ10" s="502">
        <f>'Benefit Net Cap Invest'!AS4</f>
        <v>3.8713030383923157</v>
      </c>
      <c r="AR10" s="502">
        <f>'Benefit Net Cap Invest'!AT4</f>
        <v>0.6822470920844419</v>
      </c>
      <c r="AS10" s="502">
        <f>'Benefit Net Cap Invest'!AU4</f>
        <v>5.3014487382843392</v>
      </c>
      <c r="AT10" s="502">
        <f>'Benefit Net Cap Invest'!AV4</f>
        <v>21.232824957781293</v>
      </c>
      <c r="AU10" s="502">
        <f>'Benefit Net Cap Invest'!AW4</f>
        <v>2.331345770139587</v>
      </c>
      <c r="AV10" s="502">
        <f>'Benefit Net Cap Invest'!AX4</f>
        <v>0.51905561354136642</v>
      </c>
      <c r="AW10" s="502">
        <f>'Benefit Net Cap Invest'!AY4</f>
        <v>6.7135009854815149</v>
      </c>
      <c r="AX10" s="502">
        <f>'Benefit Net Cap Invest'!AZ4</f>
        <v>5.6522506496118021</v>
      </c>
      <c r="AY10" s="502">
        <f>'Benefit Net Cap Invest'!BA4</f>
        <v>1.5365667132724148</v>
      </c>
      <c r="AZ10" s="502">
        <f>'Benefit Net Cap Invest'!BB4</f>
        <v>4.7299136624627769</v>
      </c>
      <c r="BA10" s="502">
        <f>'Benefit Net Cap Invest'!BC4</f>
        <v>0.46998575895698558</v>
      </c>
    </row>
    <row r="11" spans="1:55" x14ac:dyDescent="0.2">
      <c r="A11" s="7" t="s">
        <v>109</v>
      </c>
      <c r="B11" s="7" t="s">
        <v>131</v>
      </c>
      <c r="C11" s="502">
        <f>'Cost Water Pollution'!C4</f>
        <v>44.506424763824022</v>
      </c>
      <c r="D11" s="502">
        <f>'Cost Water Pollution'!D4</f>
        <v>0.28423349914053125</v>
      </c>
      <c r="E11" s="502">
        <f>'Cost Water Pollution'!E4</f>
        <v>9.3704753902724883E-2</v>
      </c>
      <c r="F11" s="502">
        <f>'Cost Water Pollution'!F4</f>
        <v>0.48557394627637535</v>
      </c>
      <c r="G11" s="502">
        <f>'Cost Water Pollution'!G4</f>
        <v>0.32075318410724057</v>
      </c>
      <c r="H11" s="502">
        <f>'Cost Water Pollution'!H4</f>
        <v>7.8547501719197399</v>
      </c>
      <c r="I11" s="502">
        <f>'Cost Water Pollution'!I4</f>
        <v>0.38515145295087605</v>
      </c>
      <c r="J11" s="502">
        <f>'Cost Water Pollution'!J4</f>
        <v>0.24602475828269166</v>
      </c>
      <c r="K11" s="502">
        <f>'Cost Water Pollution'!K4</f>
        <v>0.19859180430045681</v>
      </c>
      <c r="L11" s="502">
        <f>'Cost Water Pollution'!L4</f>
        <v>3.6190535270519777</v>
      </c>
      <c r="M11" s="502">
        <f>'Cost Water Pollution'!M4</f>
        <v>0.96046201453315583</v>
      </c>
      <c r="N11" s="502">
        <f>'Cost Water Pollution'!N4</f>
        <v>0.30657857734000005</v>
      </c>
      <c r="O11" s="502">
        <f>'Cost Water Pollution'!O4</f>
        <v>0.25912240686009008</v>
      </c>
      <c r="P11" s="502">
        <f>'Cost Water Pollution'!P4</f>
        <v>2.2020011575289211</v>
      </c>
      <c r="Q11" s="502">
        <f>'Cost Water Pollution'!Q4</f>
        <v>1.1934062679167614</v>
      </c>
      <c r="R11" s="502">
        <f>'Cost Water Pollution'!R4</f>
        <v>0.55997416491257801</v>
      </c>
      <c r="S11" s="502">
        <f>'Cost Water Pollution'!S4</f>
        <v>0.5926958684908048</v>
      </c>
      <c r="T11" s="502">
        <f>'Cost Water Pollution'!T4</f>
        <v>0.50746960225852589</v>
      </c>
      <c r="U11" s="502">
        <f>'Cost Water Pollution'!U4</f>
        <v>0.85005361145703029</v>
      </c>
      <c r="V11" s="502">
        <f>'Cost Water Pollution'!V4</f>
        <v>1.830786508959192E-2</v>
      </c>
      <c r="W11" s="502">
        <f>'Cost Water Pollution'!W4</f>
        <v>0.87432259291972203</v>
      </c>
      <c r="X11" s="502">
        <f>'Cost Water Pollution'!X4</f>
        <v>1.1856337178691241</v>
      </c>
      <c r="Y11" s="502">
        <f>'Cost Water Pollution'!Y4</f>
        <v>1.1640482655702953</v>
      </c>
      <c r="Z11" s="502">
        <f>'Cost Water Pollution'!Z4</f>
        <v>1.0402708789536472</v>
      </c>
      <c r="AA11" s="502">
        <f>'Cost Water Pollution'!AA4</f>
        <v>0.51878446584428861</v>
      </c>
      <c r="AB11" s="502">
        <f>'Cost Water Pollution'!AB4</f>
        <v>0.53725873482483721</v>
      </c>
      <c r="AC11" s="502">
        <f>'Cost Water Pollution'!AC4</f>
        <v>0.19058136045007587</v>
      </c>
      <c r="AD11" s="502">
        <f>'Cost Water Pollution'!AD4</f>
        <v>0.29906094892301843</v>
      </c>
      <c r="AE11" s="502">
        <f>'Cost Water Pollution'!AE4</f>
        <v>0.43939569630840286</v>
      </c>
      <c r="AF11" s="502">
        <f>'Cost Water Pollution'!AF4</f>
        <v>0.29315934522000003</v>
      </c>
      <c r="AG11" s="502">
        <f>'Cost Water Pollution'!AG4</f>
        <v>1.8155542868577164</v>
      </c>
      <c r="AH11" s="502">
        <f>'Cost Water Pollution'!AH4</f>
        <v>0.33976826553304662</v>
      </c>
      <c r="AI11" s="502">
        <f>'Cost Water Pollution'!AI4</f>
        <v>1.8154802625703845</v>
      </c>
      <c r="AJ11" s="502">
        <f>'Cost Water Pollution'!AJ4</f>
        <v>1.0712334129205567</v>
      </c>
      <c r="AK11" s="502">
        <f>'Cost Water Pollution'!AK4</f>
        <v>5.9184527564595399E-2</v>
      </c>
      <c r="AL11" s="502">
        <f>'Cost Water Pollution'!AL4</f>
        <v>2.5231810323853652</v>
      </c>
      <c r="AM11" s="502">
        <f>'Cost Water Pollution'!AM4</f>
        <v>0.74685764685269795</v>
      </c>
      <c r="AN11" s="502">
        <f>'Cost Water Pollution'!AN4</f>
        <v>0.70643990696043435</v>
      </c>
      <c r="AO11" s="502">
        <f>'Cost Water Pollution'!AO4</f>
        <v>0.51988253156182118</v>
      </c>
      <c r="AP11" s="502">
        <f>'Cost Water Pollution'!AP4</f>
        <v>0.11160099449084974</v>
      </c>
      <c r="AQ11" s="502">
        <f>'Cost Water Pollution'!AQ4</f>
        <v>0.47841607709888112</v>
      </c>
      <c r="AR11" s="502">
        <f>'Cost Water Pollution'!AR4</f>
        <v>8.1613639851666392E-2</v>
      </c>
      <c r="AS11" s="502">
        <f>'Cost Water Pollution'!AS4</f>
        <v>0.52893970815824287</v>
      </c>
      <c r="AT11" s="502">
        <f>'Cost Water Pollution'!AT4</f>
        <v>2.3454127781781184</v>
      </c>
      <c r="AU11" s="502">
        <f>'Cost Water Pollution'!AU4</f>
        <v>0.20836105407109307</v>
      </c>
      <c r="AV11" s="502">
        <f>'Cost Water Pollution'!AV4</f>
        <v>6.5055236284870935E-2</v>
      </c>
      <c r="AW11" s="502">
        <f>'Cost Water Pollution'!AW4</f>
        <v>1.3885637851686983</v>
      </c>
      <c r="AX11" s="502">
        <f>'Cost Water Pollution'!AX4</f>
        <v>1.1218485110977927</v>
      </c>
      <c r="AY11" s="502">
        <f>'Cost Water Pollution'!AY4</f>
        <v>0.23174122147617673</v>
      </c>
      <c r="AZ11" s="502">
        <f>'Cost Water Pollution'!AZ4</f>
        <v>0.84070071178177319</v>
      </c>
      <c r="BA11" s="502">
        <f>'Cost Water Pollution'!BA4</f>
        <v>2.6164531755768806E-2</v>
      </c>
      <c r="BB11" s="9"/>
      <c r="BC11" s="7"/>
    </row>
    <row r="12" spans="1:55" x14ac:dyDescent="0.2">
      <c r="A12" s="7" t="s">
        <v>115</v>
      </c>
      <c r="B12" s="7" t="s">
        <v>131</v>
      </c>
      <c r="C12" s="502">
        <f>'Cost Air Pollution'!C4</f>
        <v>14.778504878849438</v>
      </c>
      <c r="D12" s="502">
        <f>'Cost Air Pollution'!D4</f>
        <v>0.14418912065697062</v>
      </c>
      <c r="E12" s="502">
        <f>'Cost Air Pollution'!E4</f>
        <v>0</v>
      </c>
      <c r="F12" s="502">
        <f>'Cost Air Pollution'!F4</f>
        <v>0.22369710609483257</v>
      </c>
      <c r="G12" s="502">
        <f>'Cost Air Pollution'!G4</f>
        <v>9.7783899917054329E-2</v>
      </c>
      <c r="H12" s="502">
        <f>'Cost Air Pollution'!H4</f>
        <v>5.6190773010786952</v>
      </c>
      <c r="I12" s="502">
        <f>'Cost Air Pollution'!I4</f>
        <v>0.28933051138352511</v>
      </c>
      <c r="J12" s="502">
        <f>'Cost Air Pollution'!J4</f>
        <v>5.2558576603513166E-2</v>
      </c>
      <c r="K12" s="502">
        <f>'Cost Air Pollution'!K4</f>
        <v>1.3588870104289271E-2</v>
      </c>
      <c r="L12" s="502">
        <f>'Cost Air Pollution'!L4</f>
        <v>0.39109833650409742</v>
      </c>
      <c r="M12" s="502">
        <f>'Cost Air Pollution'!M4</f>
        <v>0.53034845199234271</v>
      </c>
      <c r="N12" s="502">
        <f>'Cost Air Pollution'!N4</f>
        <v>0</v>
      </c>
      <c r="O12" s="502">
        <f>'Cost Air Pollution'!O4</f>
        <v>0</v>
      </c>
      <c r="P12" s="502">
        <f>'Cost Air Pollution'!P4</f>
        <v>0.40166539596907913</v>
      </c>
      <c r="Q12" s="502">
        <f>'Cost Air Pollution'!Q4</f>
        <v>0.16864584025539597</v>
      </c>
      <c r="R12" s="502">
        <f>'Cost Air Pollution'!R4</f>
        <v>0</v>
      </c>
      <c r="S12" s="502">
        <f>'Cost Air Pollution'!S4</f>
        <v>0.11883744986718679</v>
      </c>
      <c r="T12" s="502">
        <f>'Cost Air Pollution'!T4</f>
        <v>0.15115074819043187</v>
      </c>
      <c r="U12" s="502">
        <f>'Cost Air Pollution'!U4</f>
        <v>0.20417086962727679</v>
      </c>
      <c r="V12" s="502">
        <f>'Cost Air Pollution'!V4</f>
        <v>5.6097975486656413E-3</v>
      </c>
      <c r="W12" s="502">
        <f>'Cost Air Pollution'!W4</f>
        <v>0.1793595978220143</v>
      </c>
      <c r="X12" s="502">
        <f>'Cost Air Pollution'!X4</f>
        <v>6.8999090877937319E-2</v>
      </c>
      <c r="Y12" s="502">
        <f>'Cost Air Pollution'!Y4</f>
        <v>0.22442243388133726</v>
      </c>
      <c r="Z12" s="502">
        <f>'Cost Air Pollution'!Z4</f>
        <v>7.4639608120388914E-3</v>
      </c>
      <c r="AA12" s="502">
        <f>'Cost Air Pollution'!AA4</f>
        <v>3.7577361212212022E-2</v>
      </c>
      <c r="AB12" s="502">
        <f>'Cost Air Pollution'!AB4</f>
        <v>0.32045716200766394</v>
      </c>
      <c r="AC12" s="502">
        <f>'Cost Air Pollution'!AC4</f>
        <v>0</v>
      </c>
      <c r="AD12" s="502">
        <f>'Cost Air Pollution'!AD4</f>
        <v>0</v>
      </c>
      <c r="AE12" s="502">
        <f>'Cost Air Pollution'!AE4</f>
        <v>8.4815035414830112E-2</v>
      </c>
      <c r="AF12" s="502">
        <f>'Cost Air Pollution'!AF4</f>
        <v>2.9983918145240263E-3</v>
      </c>
      <c r="AG12" s="502">
        <f>'Cost Air Pollution'!AG4</f>
        <v>0.19274460751796174</v>
      </c>
      <c r="AH12" s="502">
        <f>'Cost Air Pollution'!AH4</f>
        <v>4.6845239190596327E-2</v>
      </c>
      <c r="AI12" s="502">
        <f>'Cost Air Pollution'!AI4</f>
        <v>0.46029305403437482</v>
      </c>
      <c r="AJ12" s="502">
        <f>'Cost Air Pollution'!AJ4</f>
        <v>0.28250466964758414</v>
      </c>
      <c r="AK12" s="502">
        <f>'Cost Air Pollution'!AK4</f>
        <v>0</v>
      </c>
      <c r="AL12" s="502">
        <f>'Cost Air Pollution'!AL4</f>
        <v>0.39835632104668334</v>
      </c>
      <c r="AM12" s="502">
        <f>'Cost Air Pollution'!AM4</f>
        <v>0.31586839095083391</v>
      </c>
      <c r="AN12" s="502">
        <f>'Cost Air Pollution'!AN4</f>
        <v>5.6351337101428972E-3</v>
      </c>
      <c r="AO12" s="502">
        <f>'Cost Air Pollution'!AO4</f>
        <v>0.39074065745122222</v>
      </c>
      <c r="AP12" s="502">
        <f>'Cost Air Pollution'!AP4</f>
        <v>6.5614180837553085E-3</v>
      </c>
      <c r="AQ12" s="502">
        <f>'Cost Air Pollution'!AQ4</f>
        <v>7.0275209496699423E-2</v>
      </c>
      <c r="AR12" s="502">
        <f>'Cost Air Pollution'!AR4</f>
        <v>0</v>
      </c>
      <c r="AS12" s="502">
        <f>'Cost Air Pollution'!AS4</f>
        <v>0.22623051361877619</v>
      </c>
      <c r="AT12" s="502">
        <f>'Cost Air Pollution'!AT4</f>
        <v>2.6147933966054051</v>
      </c>
      <c r="AU12" s="502">
        <f>'Cost Air Pollution'!AU4</f>
        <v>0.12309160021001016</v>
      </c>
      <c r="AV12" s="502">
        <f>'Cost Air Pollution'!AV4</f>
        <v>8.2541487721171549E-4</v>
      </c>
      <c r="AW12" s="502">
        <f>'Cost Air Pollution'!AW4</f>
        <v>0.17438421178210484</v>
      </c>
      <c r="AX12" s="502">
        <f>'Cost Air Pollution'!AX4</f>
        <v>0</v>
      </c>
      <c r="AY12" s="502">
        <f>'Cost Air Pollution'!AY4</f>
        <v>1.6877477480038917E-2</v>
      </c>
      <c r="AZ12" s="502">
        <f>'Cost Air Pollution'!AZ4</f>
        <v>7.8605926963017492E-2</v>
      </c>
      <c r="BA12" s="502">
        <f>'Cost Air Pollution'!BA4</f>
        <v>3.6026326547101889E-2</v>
      </c>
    </row>
    <row r="13" spans="1:55" x14ac:dyDescent="0.2">
      <c r="A13" s="7" t="s">
        <v>116</v>
      </c>
      <c r="B13" s="7" t="s">
        <v>131</v>
      </c>
      <c r="C13" s="502">
        <f>'Cost Noise Pollution'!D4</f>
        <v>31.561925739644639</v>
      </c>
      <c r="D13" s="502">
        <f>'Cost Noise Pollution'!E4</f>
        <v>0.35817821773557662</v>
      </c>
      <c r="E13" s="502">
        <f>'Cost Noise Pollution'!F4</f>
        <v>5.9517691182196825E-2</v>
      </c>
      <c r="F13" s="502">
        <f>'Cost Noise Pollution'!G4</f>
        <v>0.72867534713527149</v>
      </c>
      <c r="G13" s="502">
        <f>'Cost Noise Pollution'!H4</f>
        <v>0.20786302287592803</v>
      </c>
      <c r="H13" s="502">
        <f>'Cost Noise Pollution'!I4</f>
        <v>4.4900549974273556</v>
      </c>
      <c r="I13" s="502">
        <f>'Cost Noise Pollution'!J4</f>
        <v>0.54996754305196782</v>
      </c>
      <c r="J13" s="502">
        <f>'Cost Noise Pollution'!K4</f>
        <v>0.39919488399681902</v>
      </c>
      <c r="K13" s="502">
        <f>'Cost Noise Pollution'!L4</f>
        <v>9.4938925516126135E-2</v>
      </c>
      <c r="L13" s="502">
        <f>'Cost Noise Pollution'!M4</f>
        <v>2.1756007065642464</v>
      </c>
      <c r="M13" s="502">
        <f>'Cost Noise Pollution'!N4</f>
        <v>0.92307122829367005</v>
      </c>
      <c r="N13" s="502">
        <f>'Cost Noise Pollution'!O4</f>
        <v>0.15872750953572376</v>
      </c>
      <c r="O13" s="502">
        <f>'Cost Noise Pollution'!P4</f>
        <v>0.14043414594213841</v>
      </c>
      <c r="P13" s="502">
        <f>'Cost Noise Pollution'!Q4</f>
        <v>1.4411331823565383</v>
      </c>
      <c r="Q13" s="502">
        <f>'Cost Noise Pollution'!R4</f>
        <v>0.59621394913529679</v>
      </c>
      <c r="R13" s="502">
        <f>'Cost Noise Pollution'!S4</f>
        <v>0.2475505804825972</v>
      </c>
      <c r="S13" s="502">
        <f>'Cost Noise Pollution'!T4</f>
        <v>0.26871083817151159</v>
      </c>
      <c r="T13" s="502">
        <f>'Cost Noise Pollution'!U4</f>
        <v>0.32156318463397848</v>
      </c>
      <c r="U13" s="502">
        <f>'Cost Noise Pollution'!V4</f>
        <v>0.42113679110745639</v>
      </c>
      <c r="V13" s="502">
        <f>'Cost Noise Pollution'!W4</f>
        <v>6.5185093752919587E-2</v>
      </c>
      <c r="W13" s="502">
        <f>'Cost Noise Pollution'!X4</f>
        <v>0.63901947302894302</v>
      </c>
      <c r="X13" s="502">
        <f>'Cost Noise Pollution'!Y4</f>
        <v>0.76438522563694977</v>
      </c>
      <c r="Y13" s="502">
        <f>'Cost Noise Pollution'!Z4</f>
        <v>0.93548597388331622</v>
      </c>
      <c r="Z13" s="502">
        <f>'Cost Noise Pollution'!AA4</f>
        <v>0.49329859463880787</v>
      </c>
      <c r="AA13" s="502">
        <f>'Cost Noise Pollution'!AB4</f>
        <v>0.18585739572474097</v>
      </c>
      <c r="AB13" s="502">
        <f>'Cost Noise Pollution'!AC4</f>
        <v>0.53544775134185152</v>
      </c>
      <c r="AC13" s="502">
        <f>'Cost Noise Pollution'!AD4</f>
        <v>7.019536753892977E-2</v>
      </c>
      <c r="AD13" s="502">
        <f>'Cost Noise Pollution'!AE4</f>
        <v>0.16954176510287797</v>
      </c>
      <c r="AE13" s="502">
        <f>'Cost Noise Pollution'!AF4</f>
        <v>0.32289013543857287</v>
      </c>
      <c r="AF13" s="502">
        <f>'Cost Noise Pollution'!AG4</f>
        <v>0.10076803990290527</v>
      </c>
      <c r="AG13" s="502">
        <f>'Cost Noise Pollution'!AH4</f>
        <v>1.0566008889654896</v>
      </c>
      <c r="AH13" s="502">
        <f>'Cost Noise Pollution'!AI4</f>
        <v>0.20237599117696045</v>
      </c>
      <c r="AI13" s="502">
        <f>'Cost Noise Pollution'!AJ4</f>
        <v>2.1614174125184671</v>
      </c>
      <c r="AJ13" s="502">
        <f>'Cost Noise Pollution'!AK4</f>
        <v>0.79989670887293252</v>
      </c>
      <c r="AK13" s="502">
        <f>'Cost Noise Pollution'!AL4</f>
        <v>5.1137490391099889E-2</v>
      </c>
      <c r="AL13" s="502">
        <f>'Cost Noise Pollution'!AM4</f>
        <v>1.141083000416828</v>
      </c>
      <c r="AM13" s="502">
        <f>'Cost Noise Pollution'!AN4</f>
        <v>0.31543057499430233</v>
      </c>
      <c r="AN13" s="502">
        <f>'Cost Noise Pollution'!AO4</f>
        <v>0.39404650781216727</v>
      </c>
      <c r="AO13" s="502">
        <f>'Cost Noise Pollution'!AP4</f>
        <v>1.2682175553456712</v>
      </c>
      <c r="AP13" s="502">
        <f>'Cost Noise Pollution'!AQ4</f>
        <v>0.1212258539575528</v>
      </c>
      <c r="AQ13" s="502">
        <f>'Cost Noise Pollution'!AR4</f>
        <v>0.38940421091371391</v>
      </c>
      <c r="AR13" s="502">
        <f>'Cost Noise Pollution'!AS4</f>
        <v>5.8547166421155233E-2</v>
      </c>
      <c r="AS13" s="502">
        <f>'Cost Noise Pollution'!AT4</f>
        <v>0.53479709610707526</v>
      </c>
      <c r="AT13" s="502">
        <f>'Cost Noise Pollution'!AU4</f>
        <v>2.7034101767106442</v>
      </c>
      <c r="AU13" s="502">
        <f>'Cost Noise Pollution'!AV4</f>
        <v>0.31778720103582708</v>
      </c>
      <c r="AV13" s="502">
        <f>'Cost Noise Pollution'!AW4</f>
        <v>3.0893430416702693E-2</v>
      </c>
      <c r="AW13" s="502">
        <f>'Cost Noise Pollution'!AX4</f>
        <v>0.76630253880926646</v>
      </c>
      <c r="AX13" s="502">
        <f>'Cost Noise Pollution'!AY4</f>
        <v>0.71740502362848591</v>
      </c>
      <c r="AY13" s="502">
        <f>'Cost Noise Pollution'!AZ4</f>
        <v>0.11459579643159339</v>
      </c>
      <c r="AZ13" s="502">
        <f>'Cost Noise Pollution'!BA4</f>
        <v>0.50641413374214883</v>
      </c>
      <c r="BA13" s="502">
        <f>'Cost Noise Pollution'!BB4</f>
        <v>4.6329419841336011E-2</v>
      </c>
    </row>
    <row r="14" spans="1:55" x14ac:dyDescent="0.2">
      <c r="A14" s="7" t="s">
        <v>117</v>
      </c>
      <c r="B14" s="7" t="s">
        <v>131</v>
      </c>
      <c r="C14" s="502">
        <f>'Cost Wetland Change'!C4</f>
        <v>-3.2445999606273546</v>
      </c>
      <c r="D14" s="502">
        <f>'Cost Wetland Change'!D4</f>
        <v>2.9048091062163599</v>
      </c>
      <c r="E14" s="502">
        <f>'Cost Wetland Change'!E4</f>
        <v>-45.361127926545208</v>
      </c>
      <c r="F14" s="502">
        <f>'Cost Wetland Change'!F4</f>
        <v>0.85659550254022254</v>
      </c>
      <c r="G14" s="502">
        <f>'Cost Wetland Change'!G4</f>
        <v>1.7783281449094097</v>
      </c>
      <c r="H14" s="502">
        <f>'Cost Wetland Change'!H4</f>
        <v>0.90297097182810648</v>
      </c>
      <c r="I14" s="502">
        <f>'Cost Wetland Change'!I4</f>
        <v>0.36111876209310162</v>
      </c>
      <c r="J14" s="502">
        <f>'Cost Wetland Change'!J4</f>
        <v>0.12078872864536247</v>
      </c>
      <c r="K14" s="502">
        <f>'Cost Wetland Change'!K4</f>
        <v>8.6496374632951553E-2</v>
      </c>
      <c r="L14" s="502">
        <f>'Cost Wetland Change'!L4</f>
        <v>3.667069583324118</v>
      </c>
      <c r="M14" s="502">
        <f>'Cost Wetland Change'!M4</f>
        <v>1.2304216890623678</v>
      </c>
      <c r="N14" s="502">
        <f>'Cost Wetland Change'!N4</f>
        <v>1.0564415517425032E-2</v>
      </c>
      <c r="O14" s="502">
        <f>'Cost Wetland Change'!O4</f>
        <v>0.15787027837309212</v>
      </c>
      <c r="P14" s="502">
        <f>'Cost Wetland Change'!P4</f>
        <v>1.4844586364087407</v>
      </c>
      <c r="Q14" s="502">
        <f>'Cost Wetland Change'!Q4</f>
        <v>1.0123870072196184</v>
      </c>
      <c r="R14" s="502">
        <f>'Cost Wetland Change'!R4</f>
        <v>0.72265526013760129</v>
      </c>
      <c r="S14" s="502">
        <f>'Cost Wetland Change'!S4</f>
        <v>0.15118328100101611</v>
      </c>
      <c r="T14" s="502">
        <f>'Cost Wetland Change'!T4</f>
        <v>0.28282962709686915</v>
      </c>
      <c r="U14" s="502">
        <f>'Cost Wetland Change'!U4</f>
        <v>2.9181484544334393</v>
      </c>
      <c r="V14" s="502">
        <f>'Cost Wetland Change'!V4</f>
        <v>1.1624212516764731</v>
      </c>
      <c r="W14" s="502">
        <f>'Cost Wetland Change'!W4</f>
        <v>0.29744855174468166</v>
      </c>
      <c r="X14" s="502">
        <f>'Cost Wetland Change'!X4</f>
        <v>0.14736387179612326</v>
      </c>
      <c r="Y14" s="502">
        <f>'Cost Wetland Change'!Y4</f>
        <v>2.019425585491915</v>
      </c>
      <c r="Z14" s="502">
        <f>'Cost Wetland Change'!Z4</f>
        <v>2.7138526661062241</v>
      </c>
      <c r="AA14" s="502">
        <f>'Cost Wetland Change'!AA4</f>
        <v>1.7805120948348636</v>
      </c>
      <c r="AB14" s="502">
        <f>'Cost Wetland Change'!AB4</f>
        <v>0.87528010215235719</v>
      </c>
      <c r="AC14" s="502">
        <f>'Cost Wetland Change'!AC4</f>
        <v>0.20605376461438205</v>
      </c>
      <c r="AD14" s="502">
        <f>'Cost Wetland Change'!AD4</f>
        <v>0.52508711394119667</v>
      </c>
      <c r="AE14" s="502">
        <f>'Cost Wetland Change'!AE4</f>
        <v>8.7638931466033271E-2</v>
      </c>
      <c r="AF14" s="502">
        <f>'Cost Wetland Change'!AF4</f>
        <v>3.9213951273389891E-2</v>
      </c>
      <c r="AG14" s="502">
        <f>'Cost Wetland Change'!AG4</f>
        <v>0.27046007677768191</v>
      </c>
      <c r="AH14" s="502">
        <f>'Cost Wetland Change'!AH4</f>
        <v>0.13020632392352166</v>
      </c>
      <c r="AI14" s="502">
        <f>'Cost Wetland Change'!AI4</f>
        <v>0.4594987485552906</v>
      </c>
      <c r="AJ14" s="502">
        <f>'Cost Wetland Change'!AJ4</f>
        <v>2.0009094776121765</v>
      </c>
      <c r="AK14" s="502">
        <f>'Cost Wetland Change'!AK4</f>
        <v>0.88731622980706404</v>
      </c>
      <c r="AL14" s="502">
        <f>'Cost Wetland Change'!AL4</f>
        <v>0.90363297407174814</v>
      </c>
      <c r="AM14" s="502">
        <f>'Cost Wetland Change'!AM4</f>
        <v>0.51383902109358381</v>
      </c>
      <c r="AN14" s="502">
        <f>'Cost Wetland Change'!AN4</f>
        <v>0.40758552644520252</v>
      </c>
      <c r="AO14" s="502">
        <f>'Cost Wetland Change'!AO4</f>
        <v>0.20280534467198746</v>
      </c>
      <c r="AP14" s="502">
        <f>'Cost Wetland Change'!AP4</f>
        <v>1.846590715528456E-2</v>
      </c>
      <c r="AQ14" s="502">
        <f>'Cost Wetland Change'!AQ4</f>
        <v>1.1561229131930373</v>
      </c>
      <c r="AR14" s="502">
        <f>'Cost Wetland Change'!AR4</f>
        <v>0.49225891919191522</v>
      </c>
      <c r="AS14" s="502">
        <f>'Cost Wetland Change'!AS4</f>
        <v>0.34972934110655862</v>
      </c>
      <c r="AT14" s="502">
        <f>'Cost Wetland Change'!AT4</f>
        <v>2.8884180276244966</v>
      </c>
      <c r="AU14" s="502">
        <f>'Cost Wetland Change'!AU4</f>
        <v>0.14382023359558435</v>
      </c>
      <c r="AV14" s="502">
        <f>'Cost Wetland Change'!AV4</f>
        <v>6.1031991453942031E-2</v>
      </c>
      <c r="AW14" s="502">
        <f>'Cost Wetland Change'!AW4</f>
        <v>0.33272431670247254</v>
      </c>
      <c r="AX14" s="502">
        <f>'Cost Wetland Change'!AX4</f>
        <v>0.24308514531606212</v>
      </c>
      <c r="AY14" s="502">
        <f>'Cost Wetland Change'!AY4</f>
        <v>2.4132387879379168E-2</v>
      </c>
      <c r="AZ14" s="502">
        <f>'Cost Wetland Change'!AZ4</f>
        <v>1.7665470138673989</v>
      </c>
      <c r="BA14" s="502">
        <f>'Cost Wetland Change'!BA4</f>
        <v>0.36094433733603037</v>
      </c>
    </row>
    <row r="15" spans="1:55" x14ac:dyDescent="0.2">
      <c r="A15" s="7" t="s">
        <v>118</v>
      </c>
      <c r="B15" s="7" t="s">
        <v>131</v>
      </c>
      <c r="C15" s="502">
        <f>'Cost Net Farmland Change'!C4</f>
        <v>239.06474031129324</v>
      </c>
      <c r="D15" s="502">
        <f>'Cost Net Farmland Change'!D4</f>
        <v>5.9556245968310151</v>
      </c>
      <c r="E15" s="502">
        <f>'Cost Net Farmland Change'!E4</f>
        <v>-2.9586529565732538E-3</v>
      </c>
      <c r="F15" s="502">
        <f>'Cost Net Farmland Change'!F4</f>
        <v>5.1728302804887658</v>
      </c>
      <c r="G15" s="502">
        <f>'Cost Net Farmland Change'!G4</f>
        <v>4.5531377398419171</v>
      </c>
      <c r="H15" s="502">
        <f>'Cost Net Farmland Change'!H4</f>
        <v>36.542217954696476</v>
      </c>
      <c r="I15" s="502">
        <f>'Cost Net Farmland Change'!I4</f>
        <v>4.1070682402050176</v>
      </c>
      <c r="J15" s="502">
        <f>'Cost Net Farmland Change'!J4</f>
        <v>1.508638597855321</v>
      </c>
      <c r="K15" s="502">
        <f>'Cost Net Farmland Change'!K4</f>
        <v>1.134832053779492</v>
      </c>
      <c r="L15" s="502">
        <f>'Cost Net Farmland Change'!L4</f>
        <v>10.652420233866371</v>
      </c>
      <c r="M15" s="502">
        <f>'Cost Net Farmland Change'!M4</f>
        <v>13.555449191861994</v>
      </c>
      <c r="N15" s="502">
        <f>'Cost Net Farmland Change'!N4</f>
        <v>0.64147342400328211</v>
      </c>
      <c r="O15" s="502">
        <f>'Cost Net Farmland Change'!O4</f>
        <v>3.8871314387885008</v>
      </c>
      <c r="P15" s="502">
        <f>'Cost Net Farmland Change'!P4</f>
        <v>5.8786082769006667</v>
      </c>
      <c r="Q15" s="502">
        <f>'Cost Net Farmland Change'!Q4</f>
        <v>6.8401153907326817</v>
      </c>
      <c r="R15" s="502">
        <f>'Cost Net Farmland Change'!R4</f>
        <v>7.4086204411761996</v>
      </c>
      <c r="S15" s="502">
        <f>'Cost Net Farmland Change'!S4</f>
        <v>2.8053955579669081</v>
      </c>
      <c r="T15" s="502">
        <f>'Cost Net Farmland Change'!T4</f>
        <v>3.0003130897582304</v>
      </c>
      <c r="U15" s="502">
        <f>'Cost Net Farmland Change'!U4</f>
        <v>2.4410771214446267</v>
      </c>
      <c r="V15" s="502">
        <f>'Cost Net Farmland Change'!V4</f>
        <v>1.7372780134076742</v>
      </c>
      <c r="W15" s="502">
        <f>'Cost Net Farmland Change'!W4</f>
        <v>3.0200815338725766</v>
      </c>
      <c r="X15" s="502">
        <f>'Cost Net Farmland Change'!X4</f>
        <v>1.3731126332339394</v>
      </c>
      <c r="Y15" s="502">
        <f>'Cost Net Farmland Change'!Y4</f>
        <v>7.4369736624750775</v>
      </c>
      <c r="Z15" s="502">
        <f>'Cost Net Farmland Change'!Z4</f>
        <v>6.9321025456960568</v>
      </c>
      <c r="AA15" s="502">
        <f>'Cost Net Farmland Change'!AA4</f>
        <v>6.8654880114289387</v>
      </c>
      <c r="AB15" s="502">
        <f>'Cost Net Farmland Change'!AB4</f>
        <v>3.8915271207323312</v>
      </c>
      <c r="AC15" s="502">
        <f>'Cost Net Farmland Change'!AC4</f>
        <v>0.80035154011155141</v>
      </c>
      <c r="AD15" s="502">
        <f>'Cost Net Farmland Change'!AD4</f>
        <v>2.41163014607787</v>
      </c>
      <c r="AE15" s="502">
        <f>'Cost Net Farmland Change'!AE4</f>
        <v>0.65205146201215025</v>
      </c>
      <c r="AF15" s="502">
        <f>'Cost Net Farmland Change'!AF4</f>
        <v>0.55488425420709997</v>
      </c>
      <c r="AG15" s="502">
        <f>'Cost Net Farmland Change'!AG4</f>
        <v>2.153157276807085</v>
      </c>
      <c r="AH15" s="502">
        <f>'Cost Net Farmland Change'!AH4</f>
        <v>1.3284880184634476</v>
      </c>
      <c r="AI15" s="502">
        <f>'Cost Net Farmland Change'!AI4</f>
        <v>8.5695784850647652</v>
      </c>
      <c r="AJ15" s="502">
        <f>'Cost Net Farmland Change'!AJ4</f>
        <v>16.610101349949719</v>
      </c>
      <c r="AK15" s="502">
        <f>'Cost Net Farmland Change'!AK4</f>
        <v>0.92895230639847415</v>
      </c>
      <c r="AL15" s="502">
        <f>'Cost Net Farmland Change'!AL4</f>
        <v>7.2723970303290697</v>
      </c>
      <c r="AM15" s="502">
        <f>'Cost Net Farmland Change'!AM4</f>
        <v>1.0986261388322083</v>
      </c>
      <c r="AN15" s="502">
        <f>'Cost Net Farmland Change'!AN4</f>
        <v>2.7058181800096945</v>
      </c>
      <c r="AO15" s="502">
        <f>'Cost Net Farmland Change'!AO4</f>
        <v>7.2268881744723235</v>
      </c>
      <c r="AP15" s="502">
        <f>'Cost Net Farmland Change'!AP4</f>
        <v>0.14594949141888289</v>
      </c>
      <c r="AQ15" s="502">
        <f>'Cost Net Farmland Change'!AQ4</f>
        <v>4.3324109995071316</v>
      </c>
      <c r="AR15" s="502">
        <f>'Cost Net Farmland Change'!AR4</f>
        <v>0.77356155049229314</v>
      </c>
      <c r="AS15" s="502">
        <f>'Cost Net Farmland Change'!AS4</f>
        <v>3.9856059529496077</v>
      </c>
      <c r="AT15" s="502">
        <f>'Cost Net Farmland Change'!AT4</f>
        <v>8.4203811142136615</v>
      </c>
      <c r="AU15" s="502">
        <f>'Cost Net Farmland Change'!AU4</f>
        <v>0.76987462305778576</v>
      </c>
      <c r="AV15" s="502">
        <f>'Cost Net Farmland Change'!AV4</f>
        <v>1.6251240202287993</v>
      </c>
      <c r="AW15" s="502">
        <f>'Cost Net Farmland Change'!AW4</f>
        <v>4.4904894246973024</v>
      </c>
      <c r="AX15" s="502">
        <f>'Cost Net Farmland Change'!AX4</f>
        <v>3.6202896361323149</v>
      </c>
      <c r="AY15" s="502">
        <f>'Cost Net Farmland Change'!AY4</f>
        <v>1.0479937109458985</v>
      </c>
      <c r="AZ15" s="502">
        <f>'Cost Net Farmland Change'!AZ4</f>
        <v>9.5770741945216535</v>
      </c>
      <c r="BA15" s="502">
        <f>'Cost Net Farmland Change'!BA4</f>
        <v>0.62450273230494069</v>
      </c>
    </row>
    <row r="16" spans="1:55" x14ac:dyDescent="0.2">
      <c r="A16" s="7" t="s">
        <v>119</v>
      </c>
      <c r="B16" s="7" t="s">
        <v>131</v>
      </c>
      <c r="C16" s="502">
        <f>'Cost Net Forest Change'!C4</f>
        <v>69.231399181773426</v>
      </c>
      <c r="D16" s="502">
        <f>'Cost Net Forest Change'!D4</f>
        <v>2.619001083234</v>
      </c>
      <c r="E16" s="502">
        <f>'Cost Net Forest Change'!E4</f>
        <v>0.92820754999999999</v>
      </c>
      <c r="F16" s="502">
        <f>'Cost Net Forest Change'!F4</f>
        <v>-1.7070226784979994</v>
      </c>
      <c r="G16" s="502">
        <f>'Cost Net Forest Change'!G4</f>
        <v>5.3598289622319983</v>
      </c>
      <c r="H16" s="502">
        <f>'Cost Net Forest Change'!H4</f>
        <v>-1.1268854708480025</v>
      </c>
      <c r="I16" s="502">
        <f>'Cost Net Forest Change'!I4</f>
        <v>-2.6019831903800013</v>
      </c>
      <c r="J16" s="502">
        <f>'Cost Net Forest Change'!J4</f>
        <v>0.51274246637399978</v>
      </c>
      <c r="K16" s="502">
        <f>'Cost Net Forest Change'!K4</f>
        <v>0.32570018259200006</v>
      </c>
      <c r="L16" s="502">
        <f>'Cost Net Forest Change'!L4</f>
        <v>4.8723226243619981</v>
      </c>
      <c r="M16" s="502">
        <f>'Cost Net Forest Change'!M4</f>
        <v>4.243696237065997</v>
      </c>
      <c r="N16" s="502">
        <f>'Cost Net Forest Change'!N4</f>
        <v>-8.3210000000000003E-3</v>
      </c>
      <c r="O16" s="502">
        <f>'Cost Net Forest Change'!O4</f>
        <v>0.97916766723800042</v>
      </c>
      <c r="P16" s="502">
        <f>'Cost Net Forest Change'!P4</f>
        <v>3.1573037311359986</v>
      </c>
      <c r="Q16" s="502">
        <f>'Cost Net Forest Change'!Q4</f>
        <v>6.0988806278819991</v>
      </c>
      <c r="R16" s="502">
        <f>'Cost Net Forest Change'!R4</f>
        <v>0.97710402595399981</v>
      </c>
      <c r="S16" s="502">
        <f>'Cost Net Forest Change'!S4</f>
        <v>-0.38803592894480016</v>
      </c>
      <c r="T16" s="502">
        <f>'Cost Net Forest Change'!T4</f>
        <v>4.2738194719319997</v>
      </c>
      <c r="U16" s="502">
        <f>'Cost Net Forest Change'!U4</f>
        <v>4.2326324191200007</v>
      </c>
      <c r="V16" s="502">
        <f>'Cost Net Forest Change'!V4</f>
        <v>0.45443034622799922</v>
      </c>
      <c r="W16" s="502">
        <f>'Cost Net Forest Change'!W4</f>
        <v>1.3025353237519999</v>
      </c>
      <c r="X16" s="502">
        <f>'Cost Net Forest Change'!X4</f>
        <v>0.61107034208800004</v>
      </c>
      <c r="Y16" s="502">
        <f>'Cost Net Forest Change'!Y4</f>
        <v>5.1753946462700009</v>
      </c>
      <c r="Z16" s="502">
        <f>'Cost Net Forest Change'!Z4</f>
        <v>4.4343517986040011</v>
      </c>
      <c r="AA16" s="502">
        <f>'Cost Net Forest Change'!AA4</f>
        <v>3.1146715868959993</v>
      </c>
      <c r="AB16" s="502">
        <f>'Cost Net Forest Change'!AB4</f>
        <v>4.5452470969639984</v>
      </c>
      <c r="AC16" s="502">
        <f>'Cost Net Forest Change'!AC4</f>
        <v>-0.95103662955000123</v>
      </c>
      <c r="AD16" s="502">
        <f>'Cost Net Forest Change'!AD4</f>
        <v>-4.2083430872800101E-2</v>
      </c>
      <c r="AE16" s="502">
        <f>'Cost Net Forest Change'!AE4</f>
        <v>-2.9906828645734298</v>
      </c>
      <c r="AF16" s="502">
        <f>'Cost Net Forest Change'!AF4</f>
        <v>0.25412467135999933</v>
      </c>
      <c r="AG16" s="502">
        <f>'Cost Net Forest Change'!AG4</f>
        <v>0.94546102700599999</v>
      </c>
      <c r="AH16" s="502">
        <f>'Cost Net Forest Change'!AH4</f>
        <v>-3.3902091368899998</v>
      </c>
      <c r="AI16" s="502">
        <f>'Cost Net Forest Change'!AI4</f>
        <v>3.4026197419700002</v>
      </c>
      <c r="AJ16" s="502">
        <f>'Cost Net Forest Change'!AJ4</f>
        <v>4.5649622918940009</v>
      </c>
      <c r="AK16" s="502">
        <f>'Cost Net Forest Change'!AK4</f>
        <v>-0.13246735772400001</v>
      </c>
      <c r="AL16" s="502">
        <f>'Cost Net Forest Change'!AL4</f>
        <v>6.4269242370619999</v>
      </c>
      <c r="AM16" s="502">
        <f>'Cost Net Forest Change'!AM4</f>
        <v>0.21804624657199903</v>
      </c>
      <c r="AN16" s="502">
        <f>'Cost Net Forest Change'!AN4</f>
        <v>0.37950466725999793</v>
      </c>
      <c r="AO16" s="502">
        <f>'Cost Net Forest Change'!AO4</f>
        <v>4.335907345679999</v>
      </c>
      <c r="AP16" s="502">
        <f>'Cost Net Forest Change'!AP4</f>
        <v>0.11193304355399994</v>
      </c>
      <c r="AQ16" s="502">
        <f>'Cost Net Forest Change'!AQ4</f>
        <v>1.7451026699100007</v>
      </c>
      <c r="AR16" s="502">
        <f>'Cost Net Forest Change'!AR4</f>
        <v>-0.18945369294000003</v>
      </c>
      <c r="AS16" s="502">
        <f>'Cost Net Forest Change'!AS4</f>
        <v>4.0814377688700008</v>
      </c>
      <c r="AT16" s="502">
        <f>'Cost Net Forest Change'!AT4</f>
        <v>-8.3186831839700002</v>
      </c>
      <c r="AU16" s="502">
        <f>'Cost Net Forest Change'!AU4</f>
        <v>-4.2631992298540009</v>
      </c>
      <c r="AV16" s="502">
        <f>'Cost Net Forest Change'!AV4</f>
        <v>0.42122952294399957</v>
      </c>
      <c r="AW16" s="502">
        <f>'Cost Net Forest Change'!AW4</f>
        <v>3.371225574206</v>
      </c>
      <c r="AX16" s="502">
        <f>'Cost Net Forest Change'!AX4</f>
        <v>1.2830531334639987</v>
      </c>
      <c r="AY16" s="502">
        <f>'Cost Net Forest Change'!AY4</f>
        <v>1.0237994809139999</v>
      </c>
      <c r="AZ16" s="502">
        <f>'Cost Net Forest Change'!AZ4</f>
        <v>3.7509653429999998</v>
      </c>
      <c r="BA16" s="502">
        <f>'Cost Net Forest Change'!BA4</f>
        <v>0.80705802122850023</v>
      </c>
    </row>
    <row r="17" spans="1:55" x14ac:dyDescent="0.2">
      <c r="A17" s="7" t="s">
        <v>120</v>
      </c>
      <c r="B17" s="7" t="s">
        <v>131</v>
      </c>
      <c r="C17" s="502">
        <f>'Cost Climate Change'!E4</f>
        <v>776.28191266804151</v>
      </c>
      <c r="D17" s="502">
        <f>'Cost Climate Change'!F4</f>
        <v>19.329560886145664</v>
      </c>
      <c r="E17" s="502">
        <f>'Cost Climate Change'!G4</f>
        <v>5.0489751351029746</v>
      </c>
      <c r="F17" s="502">
        <f>'Cost Climate Change'!H4</f>
        <v>12.516908302818303</v>
      </c>
      <c r="G17" s="502">
        <f>'Cost Climate Change'!I4</f>
        <v>10.023105351912577</v>
      </c>
      <c r="H17" s="502">
        <f>'Cost Climate Change'!J4</f>
        <v>49.326766641270268</v>
      </c>
      <c r="I17" s="502">
        <f>'Cost Climate Change'!K4</f>
        <v>12.441355054679935</v>
      </c>
      <c r="J17" s="502">
        <f>'Cost Climate Change'!L4</f>
        <v>4.9028733955998716</v>
      </c>
      <c r="K17" s="502">
        <f>'Cost Climate Change'!M4</f>
        <v>1.7710104039147518</v>
      </c>
      <c r="L17" s="502">
        <f>'Cost Climate Change'!N4</f>
        <v>32.652780791858298</v>
      </c>
      <c r="M17" s="502">
        <f>'Cost Climate Change'!O4</f>
        <v>22.770807258569217</v>
      </c>
      <c r="N17" s="502">
        <f>'Cost Climate Change'!P4</f>
        <v>2.5798185792135677</v>
      </c>
      <c r="O17" s="502">
        <f>'Cost Climate Change'!Q4</f>
        <v>2.4960034182110715</v>
      </c>
      <c r="P17" s="502">
        <f>'Cost Climate Change'!R4</f>
        <v>31.572496494492796</v>
      </c>
      <c r="Q17" s="502">
        <f>'Cost Climate Change'!S4</f>
        <v>28.511425845430526</v>
      </c>
      <c r="R17" s="502">
        <f>'Cost Climate Change'!T4</f>
        <v>11.940345226941824</v>
      </c>
      <c r="S17" s="502">
        <f>'Cost Climate Change'!U4</f>
        <v>10.073832219582208</v>
      </c>
      <c r="T17" s="502">
        <f>'Cost Climate Change'!V4</f>
        <v>20.189821676906114</v>
      </c>
      <c r="U17" s="502">
        <f>'Cost Climate Change'!W4</f>
        <v>32.678745144864898</v>
      </c>
      <c r="V17" s="502">
        <f>'Cost Climate Change'!X4</f>
        <v>3.5426710778511361</v>
      </c>
      <c r="W17" s="502">
        <f>'Cost Climate Change'!Y4</f>
        <v>9.1713561312567062</v>
      </c>
      <c r="X17" s="502">
        <f>'Cost Climate Change'!Z4</f>
        <v>9.4373978538568934</v>
      </c>
      <c r="Y17" s="502">
        <f>'Cost Climate Change'!AA4</f>
        <v>22.463717240853505</v>
      </c>
      <c r="Z17" s="502">
        <f>'Cost Climate Change'!AB4</f>
        <v>13.330053546922114</v>
      </c>
      <c r="AA17" s="502">
        <f>'Cost Climate Change'!AC4</f>
        <v>8.8210057391554564</v>
      </c>
      <c r="AB17" s="502">
        <f>'Cost Climate Change'!AD4</f>
        <v>18.551042520693763</v>
      </c>
      <c r="AC17" s="502">
        <f>'Cost Climate Change'!AE4</f>
        <v>4.2763672596691196</v>
      </c>
      <c r="AD17" s="502">
        <f>'Cost Climate Change'!AF4</f>
        <v>7.0409263908318707</v>
      </c>
      <c r="AE17" s="502">
        <f>'Cost Climate Change'!AG4</f>
        <v>4.5243291532750076</v>
      </c>
      <c r="AF17" s="502">
        <f>'Cost Climate Change'!AH4</f>
        <v>2.485494590182912</v>
      </c>
      <c r="AG17" s="502">
        <f>'Cost Climate Change'!AI4</f>
        <v>15.847068815207164</v>
      </c>
      <c r="AH17" s="502">
        <f>'Cost Climate Change'!AJ4</f>
        <v>7.7411626964474882</v>
      </c>
      <c r="AI17" s="502">
        <f>'Cost Climate Change'!AK4</f>
        <v>22.653956058074879</v>
      </c>
      <c r="AJ17" s="502">
        <f>'Cost Climate Change'!AL4</f>
        <v>18.443753773106817</v>
      </c>
      <c r="AK17" s="502">
        <f>'Cost Climate Change'!AM4</f>
        <v>7.1654240700627199</v>
      </c>
      <c r="AL17" s="502">
        <f>'Cost Climate Change'!AN4</f>
        <v>32.460266029561211</v>
      </c>
      <c r="AM17" s="502">
        <f>'Cost Climate Change'!AO4</f>
        <v>14.669354328261248</v>
      </c>
      <c r="AN17" s="502">
        <f>'Cost Climate Change'!AP4</f>
        <v>5.5315219390126087</v>
      </c>
      <c r="AO17" s="502">
        <f>'Cost Climate Change'!AQ4</f>
        <v>34.433858769143676</v>
      </c>
      <c r="AP17" s="502">
        <f>'Cost Climate Change'!AR4</f>
        <v>1.48511222172544</v>
      </c>
      <c r="AQ17" s="502">
        <f>'Cost Climate Change'!AS4</f>
        <v>11.754565404154498</v>
      </c>
      <c r="AR17" s="502">
        <f>'Cost Climate Change'!AT4</f>
        <v>2.0193090444961279</v>
      </c>
      <c r="AS17" s="502">
        <f>'Cost Climate Change'!AU4</f>
        <v>14.843951829069441</v>
      </c>
      <c r="AT17" s="502">
        <f>'Cost Climate Change'!AV4</f>
        <v>102.53158112404839</v>
      </c>
      <c r="AU17" s="502">
        <f>'Cost Climate Change'!AW4</f>
        <v>8.611467836649215</v>
      </c>
      <c r="AV17" s="502">
        <f>'Cost Climate Change'!AX4</f>
        <v>0.96170291413503994</v>
      </c>
      <c r="AW17" s="502">
        <f>'Cost Climate Change'!AY4</f>
        <v>14.326011756839552</v>
      </c>
      <c r="AX17" s="502">
        <f>'Cost Climate Change'!AZ4</f>
        <v>10.444033265290239</v>
      </c>
      <c r="AY17" s="502">
        <f>'Cost Climate Change'!BA4</f>
        <v>13.115441215854208</v>
      </c>
      <c r="AZ17" s="502">
        <f>'Cost Climate Change'!BB4</f>
        <v>14.258418510483841</v>
      </c>
      <c r="BA17" s="502">
        <f>'Cost Climate Change'!BC4</f>
        <v>8.5129577343543037</v>
      </c>
    </row>
    <row r="18" spans="1:55" x14ac:dyDescent="0.2">
      <c r="A18" s="7" t="s">
        <v>121</v>
      </c>
      <c r="B18" s="7" t="s">
        <v>131</v>
      </c>
      <c r="C18" s="502">
        <f>'Cost Ozone Depletion'!C4</f>
        <v>627.38520000000005</v>
      </c>
      <c r="D18" s="502">
        <f>'Cost Ozone Depletion'!D4</f>
        <v>9.6915298987194856</v>
      </c>
      <c r="E18" s="502">
        <f>'Cost Ozone Depletion'!E4</f>
        <v>1.460400711304809</v>
      </c>
      <c r="F18" s="502">
        <f>'Cost Ozone Depletion'!F4</f>
        <v>13.047925601956539</v>
      </c>
      <c r="G18" s="502">
        <f>'Cost Ozone Depletion'!G4</f>
        <v>5.9286426146319844</v>
      </c>
      <c r="H18" s="502">
        <f>'Cost Ozone Depletion'!H4</f>
        <v>76.028020001053747</v>
      </c>
      <c r="I18" s="502">
        <f>'Cost Ozone Depletion'!I4</f>
        <v>10.322232310184591</v>
      </c>
      <c r="J18" s="502">
        <f>'Cost Ozone Depletion'!J4</f>
        <v>7.2362667615962355</v>
      </c>
      <c r="K18" s="502">
        <f>'Cost Ozone Depletion'!K4</f>
        <v>1.8321829093501718</v>
      </c>
      <c r="L18" s="502">
        <f>'Cost Ozone Depletion'!L4</f>
        <v>38.498810540856972</v>
      </c>
      <c r="M18" s="502">
        <f>'Cost Ozone Depletion'!M4</f>
        <v>19.796816461263209</v>
      </c>
      <c r="N18" s="502">
        <f>'Cost Ozone Depletion'!N4</f>
        <v>2.7804003147981446</v>
      </c>
      <c r="O18" s="502">
        <f>'Cost Ozone Depletion'!O4</f>
        <v>3.1952323158134495</v>
      </c>
      <c r="P18" s="502">
        <f>'Cost Ozone Depletion'!P4</f>
        <v>25.944783477472772</v>
      </c>
      <c r="Q18" s="502">
        <f>'Cost Ozone Depletion'!Q4</f>
        <v>13.146860658571031</v>
      </c>
      <c r="R18" s="502">
        <f>'Cost Ozone Depletion'!R4</f>
        <v>6.1818714092599834</v>
      </c>
      <c r="S18" s="502">
        <f>'Cost Ozone Depletion'!S4</f>
        <v>5.79105594468456</v>
      </c>
      <c r="T18" s="502">
        <f>'Cost Ozone Depletion'!T4</f>
        <v>8.8101266429085712</v>
      </c>
      <c r="U18" s="502">
        <f>'Cost Ozone Depletion'!U4</f>
        <v>9.229673583915476</v>
      </c>
      <c r="V18" s="502">
        <f>'Cost Ozone Depletion'!V4</f>
        <v>2.680361675738038</v>
      </c>
      <c r="W18" s="502">
        <f>'Cost Ozone Depletion'!W4</f>
        <v>11.781442685761951</v>
      </c>
      <c r="X18" s="502">
        <f>'Cost Ozone Depletion'!X4</f>
        <v>13.329748681779636</v>
      </c>
      <c r="Y18" s="502">
        <f>'Cost Ozone Depletion'!Y4</f>
        <v>19.926625598618585</v>
      </c>
      <c r="Z18" s="502">
        <f>'Cost Ozone Depletion'!Z4</f>
        <v>10.788272957698304</v>
      </c>
      <c r="AA18" s="502">
        <f>'Cost Ozone Depletion'!AA4</f>
        <v>6.0070736339616539</v>
      </c>
      <c r="AB18" s="502">
        <f>'Cost Ozone Depletion'!AB4</f>
        <v>12.123234476030193</v>
      </c>
      <c r="AC18" s="502">
        <f>'Cost Ozone Depletion'!AC4</f>
        <v>2.0128113121948092</v>
      </c>
      <c r="AD18" s="502">
        <f>'Cost Ozone Depletion'!AD4</f>
        <v>3.7167405907080151</v>
      </c>
      <c r="AE18" s="502">
        <f>'Cost Ozone Depletion'!AE4</f>
        <v>5.4877059458583108</v>
      </c>
      <c r="AF18" s="502">
        <f>'Cost Ozone Depletion'!AF4</f>
        <v>2.6586995830166833</v>
      </c>
      <c r="AG18" s="502">
        <f>'Cost Ozone Depletion'!AG4</f>
        <v>17.82431516234703</v>
      </c>
      <c r="AH18" s="502">
        <f>'Cost Ozone Depletion'!AH4</f>
        <v>4.1937625896869735</v>
      </c>
      <c r="AI18" s="502">
        <f>'Cost Ozone Depletion'!AI4</f>
        <v>39.344864860599067</v>
      </c>
      <c r="AJ18" s="502">
        <f>'Cost Ozone Depletion'!AJ4</f>
        <v>19.471275779951892</v>
      </c>
      <c r="AK18" s="502">
        <f>'Cost Ozone Depletion'!AK4</f>
        <v>1.3814754000205218</v>
      </c>
      <c r="AL18" s="502">
        <f>'Cost Ozone Depletion'!AL4</f>
        <v>23.284191462401264</v>
      </c>
      <c r="AM18" s="502">
        <f>'Cost Ozone Depletion'!AM4</f>
        <v>7.6346176565818524</v>
      </c>
      <c r="AN18" s="502">
        <f>'Cost Ozone Depletion'!AN4</f>
        <v>7.8042223400794217</v>
      </c>
      <c r="AO18" s="502">
        <f>'Cost Ozone Depletion'!AO4</f>
        <v>25.71114680191128</v>
      </c>
      <c r="AP18" s="502">
        <f>'Cost Ozone Depletion'!AP4</f>
        <v>2.1196974079650102</v>
      </c>
      <c r="AQ18" s="502">
        <f>'Cost Ozone Depletion'!AQ4</f>
        <v>9.4285645613446061</v>
      </c>
      <c r="AR18" s="502">
        <f>'Cost Ozone Depletion'!AR4</f>
        <v>1.6616138521615529</v>
      </c>
      <c r="AS18" s="502">
        <f>'Cost Ozone Depletion'!AS4</f>
        <v>12.911686634154767</v>
      </c>
      <c r="AT18" s="502">
        <f>'Cost Ozone Depletion'!AT4</f>
        <v>51.712578154901436</v>
      </c>
      <c r="AU18" s="502">
        <f>'Cost Ozone Depletion'!AU4</f>
        <v>5.6779962432770912</v>
      </c>
      <c r="AV18" s="502">
        <f>'Cost Ozone Depletion'!AV4</f>
        <v>1.2641607527669754</v>
      </c>
      <c r="AW18" s="502">
        <f>'Cost Ozone Depletion'!AW4</f>
        <v>16.350742074831203</v>
      </c>
      <c r="AX18" s="502">
        <f>'Cost Ozone Depletion'!AX4</f>
        <v>13.766065233916267</v>
      </c>
      <c r="AY18" s="502">
        <f>'Cost Ozone Depletion'!AY4</f>
        <v>3.7423106161481234</v>
      </c>
      <c r="AZ18" s="502">
        <f>'Cost Ozone Depletion'!AZ4</f>
        <v>11.519712069514526</v>
      </c>
      <c r="BA18" s="502">
        <f>'Cost Ozone Depletion'!BA4</f>
        <v>1.1446510457312895</v>
      </c>
    </row>
    <row r="19" spans="1:55" x14ac:dyDescent="0.2">
      <c r="A19" s="7" t="s">
        <v>122</v>
      </c>
      <c r="B19" s="7" t="s">
        <v>131</v>
      </c>
      <c r="C19" s="502">
        <f>'Cost Nonrenewable Depletion'!C4</f>
        <v>2541.2295088628371</v>
      </c>
      <c r="D19" s="502">
        <f>'Cost Nonrenewable Depletion'!D4</f>
        <v>66.641517960140689</v>
      </c>
      <c r="E19" s="502">
        <f>'Cost Nonrenewable Depletion'!E4</f>
        <v>16.554199179366943</v>
      </c>
      <c r="F19" s="502">
        <f>'Cost Nonrenewable Depletion'!F4</f>
        <v>47.373525041031655</v>
      </c>
      <c r="G19" s="502">
        <f>'Cost Nonrenewable Depletion'!G4</f>
        <v>31.686995146541616</v>
      </c>
      <c r="H19" s="502">
        <f>'Cost Nonrenewable Depletion'!H4</f>
        <v>171.39805983587337</v>
      </c>
      <c r="I19" s="502">
        <f>'Cost Nonrenewable Depletion'!I4</f>
        <v>37.255463657678789</v>
      </c>
      <c r="J19" s="502">
        <f>'Cost Nonrenewable Depletion'!J4</f>
        <v>21.354086049237988</v>
      </c>
      <c r="K19" s="502">
        <f>'Cost Nonrenewable Depletion'!K4</f>
        <v>5.6745015240328254</v>
      </c>
      <c r="L19" s="502">
        <f>'Cost Nonrenewable Depletion'!L4</f>
        <v>108.03297491207503</v>
      </c>
      <c r="M19" s="502">
        <f>'Cost Nonrenewable Depletion'!M4</f>
        <v>72.523247924970704</v>
      </c>
      <c r="N19" s="502">
        <f>'Cost Nonrenewable Depletion'!N4</f>
        <v>7.5263915592028141</v>
      </c>
      <c r="O19" s="502">
        <f>'Cost Nonrenewable Depletion'!O4</f>
        <v>6.7534789683470109</v>
      </c>
      <c r="P19" s="502">
        <f>'Cost Nonrenewable Depletion'!P4</f>
        <v>123.42086961313012</v>
      </c>
      <c r="Q19" s="502">
        <f>'Cost Nonrenewable Depletion'!Q4</f>
        <v>78.864946025791326</v>
      </c>
      <c r="R19" s="502">
        <f>'Cost Nonrenewable Depletion'!R4</f>
        <v>34.657408956623684</v>
      </c>
      <c r="S19" s="502">
        <f>'Cost Nonrenewable Depletion'!S4</f>
        <v>31.730469378663539</v>
      </c>
      <c r="T19" s="502">
        <f>'Cost Nonrenewable Depletion'!T4</f>
        <v>54.635333692848768</v>
      </c>
      <c r="U19" s="502">
        <f>'Cost Nonrenewable Depletion'!U4</f>
        <v>105.8170498007034</v>
      </c>
      <c r="V19" s="502">
        <f>'Cost Nonrenewable Depletion'!V4</f>
        <v>8.4000006096131301</v>
      </c>
      <c r="W19" s="502">
        <f>'Cost Nonrenewable Depletion'!W4</f>
        <v>30.648568933177025</v>
      </c>
      <c r="X19" s="502">
        <f>'Cost Nonrenewable Depletion'!X4</f>
        <v>32.409346096131308</v>
      </c>
      <c r="Y19" s="502">
        <f>'Cost Nonrenewable Depletion'!Y4</f>
        <v>75.632979390386865</v>
      </c>
      <c r="Z19" s="502">
        <f>'Cost Nonrenewable Depletion'!Z4</f>
        <v>42.7055807971864</v>
      </c>
      <c r="AA19" s="502">
        <f>'Cost Nonrenewable Depletion'!AA4</f>
        <v>30.636480820633061</v>
      </c>
      <c r="AB19" s="502">
        <f>'Cost Nonrenewable Depletion'!AB4</f>
        <v>53.972819390386874</v>
      </c>
      <c r="AC19" s="502">
        <f>'Cost Nonrenewable Depletion'!AC4</f>
        <v>11.955643610785462</v>
      </c>
      <c r="AD19" s="502">
        <f>'Cost Nonrenewable Depletion'!AD4</f>
        <v>22.176697467760846</v>
      </c>
      <c r="AE19" s="502">
        <f>'Cost Nonrenewable Depletion'!AE4</f>
        <v>15.858330246189919</v>
      </c>
      <c r="AF19" s="502">
        <f>'Cost Nonrenewable Depletion'!AF4</f>
        <v>10.296747643610786</v>
      </c>
      <c r="AG19" s="502">
        <f>'Cost Nonrenewable Depletion'!AG4</f>
        <v>60.973958358733888</v>
      </c>
      <c r="AH19" s="502">
        <f>'Cost Nonrenewable Depletion'!AH4</f>
        <v>22.845292215709268</v>
      </c>
      <c r="AI19" s="502">
        <f>'Cost Nonrenewable Depletion'!AI4</f>
        <v>88.668056717467778</v>
      </c>
      <c r="AJ19" s="502">
        <f>'Cost Nonrenewable Depletion'!AJ4</f>
        <v>63.390631910902698</v>
      </c>
      <c r="AK19" s="502">
        <f>'Cost Nonrenewable Depletion'!AK4</f>
        <v>18.9995143024619</v>
      </c>
      <c r="AL19" s="502">
        <f>'Cost Nonrenewable Depletion'!AL4</f>
        <v>96.962836740914412</v>
      </c>
      <c r="AM19" s="502">
        <f>'Cost Nonrenewable Depletion'!AM4</f>
        <v>45.414831535756157</v>
      </c>
      <c r="AN19" s="502">
        <f>'Cost Nonrenewable Depletion'!AN4</f>
        <v>15.900479085580306</v>
      </c>
      <c r="AO19" s="502">
        <f>'Cost Nonrenewable Depletion'!AO4</f>
        <v>124.74292762016412</v>
      </c>
      <c r="AP19" s="502">
        <f>'Cost Nonrenewable Depletion'!AP4</f>
        <v>5.2774056740914421</v>
      </c>
      <c r="AQ19" s="502">
        <f>'Cost Nonrenewable Depletion'!AQ4</f>
        <v>49.254375732708084</v>
      </c>
      <c r="AR19" s="502">
        <f>'Cost Nonrenewable Depletion'!AR4</f>
        <v>6.0149020867526382</v>
      </c>
      <c r="AS19" s="502">
        <f>'Cost Nonrenewable Depletion'!AS4</f>
        <v>49.242877561547481</v>
      </c>
      <c r="AT19" s="502">
        <f>'Cost Nonrenewable Depletion'!AT4</f>
        <v>328.58173927315363</v>
      </c>
      <c r="AU19" s="502">
        <f>'Cost Nonrenewable Depletion'!AU4</f>
        <v>24.995172262602576</v>
      </c>
      <c r="AV19" s="502">
        <f>'Cost Nonrenewable Depletion'!AV4</f>
        <v>4.3628486283704575</v>
      </c>
      <c r="AW19" s="502">
        <f>'Cost Nonrenewable Depletion'!AW4</f>
        <v>48.841319179366941</v>
      </c>
      <c r="AX19" s="502">
        <f>'Cost Nonrenewable Depletion'!AX4</f>
        <v>29.347912497069167</v>
      </c>
      <c r="AY19" s="502">
        <f>'Cost Nonrenewable Depletion'!AY4</f>
        <v>34.377719038686983</v>
      </c>
      <c r="AZ19" s="502">
        <f>'Cost Nonrenewable Depletion'!AZ4</f>
        <v>42.991817889800707</v>
      </c>
      <c r="BA19" s="502">
        <f>'Cost Nonrenewable Depletion'!BA4</f>
        <v>23.44917631887456</v>
      </c>
    </row>
    <row r="20" spans="1:55" x14ac:dyDescent="0.2">
      <c r="A20" s="7" t="s">
        <v>1020</v>
      </c>
      <c r="B20" s="7" t="s">
        <v>131</v>
      </c>
      <c r="C20" s="502">
        <f>'Value Housework'!C4</f>
        <v>2134.5583133048162</v>
      </c>
      <c r="D20" s="502">
        <f>'Value Housework'!D4</f>
        <v>28.641226684752002</v>
      </c>
      <c r="E20" s="502">
        <f>'Value Housework'!E4</f>
        <v>5.3207307515520004</v>
      </c>
      <c r="F20" s="502">
        <f>'Value Housework'!F4</f>
        <v>40.177140808992</v>
      </c>
      <c r="G20" s="502">
        <f>'Value Housework'!G4</f>
        <v>16.651523637252001</v>
      </c>
      <c r="H20" s="502">
        <f>'Value Housework'!H4</f>
        <v>280.62657095972401</v>
      </c>
      <c r="I20" s="502">
        <f>'Value Housework'!I4</f>
        <v>34.961458796591998</v>
      </c>
      <c r="J20" s="502">
        <f>'Value Housework'!J4</f>
        <v>28.204884784560001</v>
      </c>
      <c r="K20" s="502">
        <f>'Value Housework'!K4</f>
        <v>5.8658611146120005</v>
      </c>
      <c r="L20" s="502">
        <f>'Value Housework'!L4</f>
        <v>122.77043806878</v>
      </c>
      <c r="M20" s="502">
        <f>'Value Housework'!M4</f>
        <v>57.922465667400004</v>
      </c>
      <c r="N20" s="502">
        <f>'Value Housework'!N4</f>
        <v>13.721056882944001</v>
      </c>
      <c r="O20" s="502">
        <f>'Value Housework'!O4</f>
        <v>9.3750699661020018</v>
      </c>
      <c r="P20" s="502">
        <f>'Value Housework'!P4</f>
        <v>91.523474096208005</v>
      </c>
      <c r="Q20" s="502">
        <f>'Value Housework'!Q4</f>
        <v>39.505475151624012</v>
      </c>
      <c r="R20" s="502">
        <f>'Value Housework'!R4</f>
        <v>19.865401910315999</v>
      </c>
      <c r="S20" s="502">
        <f>'Value Housework'!S4</f>
        <v>16.709457556488001</v>
      </c>
      <c r="T20" s="502">
        <f>'Value Housework'!T4</f>
        <v>26.507435792400003</v>
      </c>
      <c r="U20" s="502">
        <f>'Value Housework'!U4</f>
        <v>26.909358233472005</v>
      </c>
      <c r="V20" s="502">
        <f>'Value Housework'!V4</f>
        <v>9.2756988032640013</v>
      </c>
      <c r="W20" s="502">
        <f>'Value Housework'!W4</f>
        <v>40.615283390256003</v>
      </c>
      <c r="X20" s="502">
        <f>'Value Housework'!X4</f>
        <v>58.612093745940008</v>
      </c>
      <c r="Y20" s="502">
        <f>'Value Housework'!Y4</f>
        <v>70.892577193536013</v>
      </c>
      <c r="Z20" s="502">
        <f>'Value Housework'!Z4</f>
        <v>38.057934080166</v>
      </c>
      <c r="AA20" s="502">
        <f>'Value Housework'!AA4</f>
        <v>16.909087822920004</v>
      </c>
      <c r="AB20" s="502">
        <f>'Value Housework'!AB4</f>
        <v>37.215754545816004</v>
      </c>
      <c r="AC20" s="502">
        <f>'Value Housework'!AC4</f>
        <v>6.2614980655920007</v>
      </c>
      <c r="AD20" s="502">
        <f>'Value Housework'!AD4</f>
        <v>11.1504330924</v>
      </c>
      <c r="AE20" s="502">
        <f>'Value Housework'!AE4</f>
        <v>23.504277200291998</v>
      </c>
      <c r="AF20" s="502">
        <f>'Value Housework'!AF4</f>
        <v>9.5203030467900014</v>
      </c>
      <c r="AG20" s="502">
        <f>'Value Housework'!AG4</f>
        <v>64.733565656447993</v>
      </c>
      <c r="AH20" s="502">
        <f>'Value Housework'!AH4</f>
        <v>12.618548802576003</v>
      </c>
      <c r="AI20" s="502">
        <f>'Value Housework'!AI4</f>
        <v>188.47182125088</v>
      </c>
      <c r="AJ20" s="502">
        <f>'Value Housework'!AJ4</f>
        <v>59.219362652160001</v>
      </c>
      <c r="AK20" s="502">
        <f>'Value Housework'!AK4</f>
        <v>4.3650241492800008</v>
      </c>
      <c r="AL20" s="502">
        <f>'Value Housework'!AL4</f>
        <v>76.727506432788005</v>
      </c>
      <c r="AM20" s="502">
        <f>'Value Housework'!AM4</f>
        <v>22.0932897066</v>
      </c>
      <c r="AN20" s="502">
        <f>'Value Housework'!AN4</f>
        <v>27.248304613626008</v>
      </c>
      <c r="AO20" s="502">
        <f>'Value Housework'!AO4</f>
        <v>89.561212423092016</v>
      </c>
      <c r="AP20" s="502">
        <f>'Value Housework'!AP4</f>
        <v>8.3598822766080012</v>
      </c>
      <c r="AQ20" s="502">
        <f>'Value Housework'!AQ4</f>
        <v>28.709180591580001</v>
      </c>
      <c r="AR20" s="502">
        <f>'Value Housework'!AR4</f>
        <v>4.9813026524280009</v>
      </c>
      <c r="AS20" s="502">
        <f>'Value Housework'!AS4</f>
        <v>38.210145607242005</v>
      </c>
      <c r="AT20" s="502">
        <f>'Value Housework'!AT4</f>
        <v>145.62937149851999</v>
      </c>
      <c r="AU20" s="502">
        <f>'Value Housework'!AU4</f>
        <v>15.909878697983999</v>
      </c>
      <c r="AV20" s="502">
        <f>'Value Housework'!AV4</f>
        <v>4.7294279684999996</v>
      </c>
      <c r="AW20" s="502">
        <f>'Value Housework'!AW4</f>
        <v>51.844108840524001</v>
      </c>
      <c r="AX20" s="502">
        <f>'Value Housework'!AX4</f>
        <v>51.081341500176009</v>
      </c>
      <c r="AY20" s="502">
        <f>'Value Housework'!AY4</f>
        <v>11.935847374296001</v>
      </c>
      <c r="AZ20" s="502">
        <f>'Value Housework'!AZ4</f>
        <v>37.305450851046004</v>
      </c>
      <c r="BA20" s="502">
        <f>'Value Housework'!BA4</f>
        <v>3.5497679077200002</v>
      </c>
    </row>
    <row r="21" spans="1:55" x14ac:dyDescent="0.2">
      <c r="A21" s="7" t="s">
        <v>123</v>
      </c>
      <c r="B21" s="7" t="s">
        <v>131</v>
      </c>
      <c r="C21" s="502">
        <f>'Cost Family Breakdown'!D4</f>
        <v>67.353318108941821</v>
      </c>
      <c r="D21" s="502">
        <f>'Cost Family Breakdown'!E4</f>
        <v>1.1696471556698442</v>
      </c>
      <c r="E21" s="502">
        <f>'Cost Family Breakdown'!F4</f>
        <v>0.19042213355345761</v>
      </c>
      <c r="F21" s="502">
        <f>'Cost Family Breakdown'!G4</f>
        <v>1.3461218374702626</v>
      </c>
      <c r="G21" s="502">
        <f>'Cost Family Breakdown'!H4</f>
        <v>0.7877346515426773</v>
      </c>
      <c r="H21" s="502">
        <f>'Cost Family Breakdown'!I4</f>
        <v>8.1378062048624358</v>
      </c>
      <c r="I21" s="502">
        <f>'Cost Family Breakdown'!J4</f>
        <v>1.2022306704259267</v>
      </c>
      <c r="J21" s="502">
        <f>'Cost Family Breakdown'!K4</f>
        <v>0.75384679764710438</v>
      </c>
      <c r="K21" s="502">
        <f>'Cost Family Breakdown'!L4</f>
        <v>0.19182283076155934</v>
      </c>
      <c r="L21" s="502">
        <f>'Cost Family Breakdown'!M4</f>
        <v>4.2739264262874173</v>
      </c>
      <c r="M21" s="502">
        <f>'Cost Family Breakdown'!N4</f>
        <v>2.0969926717093199</v>
      </c>
      <c r="N21" s="502">
        <f>'Cost Family Breakdown'!O4</f>
        <v>0.2750615959267449</v>
      </c>
      <c r="O21" s="502">
        <f>'Cost Family Breakdown'!P4</f>
        <v>0.39647512085241821</v>
      </c>
      <c r="P21" s="502">
        <f>'Cost Family Breakdown'!Q4</f>
        <v>2.5361838099369249</v>
      </c>
      <c r="Q21" s="502">
        <f>'Cost Family Breakdown'!R4</f>
        <v>1.4665423011110665</v>
      </c>
      <c r="R21" s="502">
        <f>'Cost Family Breakdown'!S4</f>
        <v>0.58757039465095495</v>
      </c>
      <c r="S21" s="502">
        <f>'Cost Family Breakdown'!T4</f>
        <v>0.67720398753587585</v>
      </c>
      <c r="T21" s="502">
        <f>'Cost Family Breakdown'!U4</f>
        <v>0.98467913664229001</v>
      </c>
      <c r="U21" s="502">
        <f>'Cost Family Breakdown'!V4</f>
        <v>1.0645996137076474</v>
      </c>
      <c r="V21" s="502">
        <f>'Cost Family Breakdown'!W4</f>
        <v>0.32196545565115853</v>
      </c>
      <c r="W21" s="502">
        <f>'Cost Family Breakdown'!X4</f>
        <v>1.1731792807871544</v>
      </c>
      <c r="X21" s="502">
        <f>'Cost Family Breakdown'!Y4</f>
        <v>1.2903041741531291</v>
      </c>
      <c r="Y21" s="502">
        <f>'Cost Family Breakdown'!Z4</f>
        <v>2.2453417149884758</v>
      </c>
      <c r="Z21" s="502">
        <f>'Cost Family Breakdown'!AA4</f>
        <v>1.199414566840693</v>
      </c>
      <c r="AA21" s="502">
        <f>'Cost Family Breakdown'!AB4</f>
        <v>0.71652226252525808</v>
      </c>
      <c r="AB21" s="502">
        <f>'Cost Family Breakdown'!AC4</f>
        <v>1.3936487177680426</v>
      </c>
      <c r="AC21" s="502">
        <f>'Cost Family Breakdown'!AD4</f>
        <v>0.22951236762288718</v>
      </c>
      <c r="AD21" s="502">
        <f>'Cost Family Breakdown'!AE4</f>
        <v>0.41008415963464118</v>
      </c>
      <c r="AE21" s="502">
        <f>'Cost Family Breakdown'!AF4</f>
        <v>0.67659420731156683</v>
      </c>
      <c r="AF21" s="502">
        <f>'Cost Family Breakdown'!AG4</f>
        <v>0.30722273282917867</v>
      </c>
      <c r="AG21" s="502">
        <f>'Cost Family Breakdown'!AH4</f>
        <v>1.8001229019833878</v>
      </c>
      <c r="AH21" s="502">
        <f>'Cost Family Breakdown'!AI4</f>
        <v>0.43998364616479851</v>
      </c>
      <c r="AI21" s="502">
        <f>'Cost Family Breakdown'!AJ4</f>
        <v>3.9391495626324819</v>
      </c>
      <c r="AJ21" s="502">
        <f>'Cost Family Breakdown'!AK4</f>
        <v>2.0485973536224735</v>
      </c>
      <c r="AK21" s="502">
        <f>'Cost Family Breakdown'!AL4</f>
        <v>0.13674126445273144</v>
      </c>
      <c r="AL21" s="502">
        <f>'Cost Family Breakdown'!AM4</f>
        <v>2.5863329916285491</v>
      </c>
      <c r="AM21" s="502">
        <f>'Cost Family Breakdown'!AN4</f>
        <v>1.0080411062124246</v>
      </c>
      <c r="AN21" s="502">
        <f>'Cost Family Breakdown'!AO4</f>
        <v>0.84429717492731859</v>
      </c>
      <c r="AO21" s="502">
        <f>'Cost Family Breakdown'!AP4</f>
        <v>2.5097268898766032</v>
      </c>
      <c r="AP21" s="502">
        <f>'Cost Family Breakdown'!AQ4</f>
        <v>0.22591306762857913</v>
      </c>
      <c r="AQ21" s="502">
        <f>'Cost Family Breakdown'!AR4</f>
        <v>0.94104705037589875</v>
      </c>
      <c r="AR21" s="502">
        <f>'Cost Family Breakdown'!AS4</f>
        <v>0.17651111187302168</v>
      </c>
      <c r="AS21" s="502">
        <f>'Cost Family Breakdown'!AT4</f>
        <v>1.5150772847927145</v>
      </c>
      <c r="AT21" s="502">
        <f>'Cost Family Breakdown'!AU4</f>
        <v>5.1686612010554063</v>
      </c>
      <c r="AU21" s="502">
        <f>'Cost Family Breakdown'!AV4</f>
        <v>0.60737231824099969</v>
      </c>
      <c r="AV21" s="502">
        <f>'Cost Family Breakdown'!AW4</f>
        <v>0.14375242853250797</v>
      </c>
      <c r="AW21" s="502">
        <f>'Cost Family Breakdown'!AX4</f>
        <v>1.7914143073050057</v>
      </c>
      <c r="AX21" s="502">
        <f>'Cost Family Breakdown'!AY4</f>
        <v>1.5650857178932529</v>
      </c>
      <c r="AY21" s="502">
        <f>'Cost Family Breakdown'!AZ4</f>
        <v>0.49406151280219068</v>
      </c>
      <c r="AZ21" s="502">
        <f>'Cost Family Breakdown'!BA4</f>
        <v>1.1659844602333655</v>
      </c>
      <c r="BA21" s="502">
        <f>'Cost Family Breakdown'!BB4</f>
        <v>0.14278777630199449</v>
      </c>
    </row>
    <row r="22" spans="1:55" x14ac:dyDescent="0.2">
      <c r="A22" s="7" t="s">
        <v>124</v>
      </c>
      <c r="B22" s="7" t="s">
        <v>131</v>
      </c>
      <c r="C22" s="502">
        <f>'Cost Crime'!C4</f>
        <v>77.680179334383425</v>
      </c>
      <c r="D22" s="502">
        <f>'Cost Crime'!D4</f>
        <v>1.4895797688954999</v>
      </c>
      <c r="E22" s="502">
        <f>'Cost Crime'!E4</f>
        <v>0.21166798172000001</v>
      </c>
      <c r="F22" s="502">
        <f>'Cost Crime'!F4</f>
        <v>2.0635610559891999</v>
      </c>
      <c r="G22" s="502">
        <f>'Cost Crime'!G4</f>
        <v>0.9143542962804001</v>
      </c>
      <c r="H22" s="502">
        <f>'Cost Crime'!H4</f>
        <v>9.5126799160296009</v>
      </c>
      <c r="I22" s="502">
        <f>'Cost Crime'!I4</f>
        <v>1.0658633375836</v>
      </c>
      <c r="J22" s="502">
        <f>'Cost Crime'!J4</f>
        <v>0.6665941311711</v>
      </c>
      <c r="K22" s="502">
        <f>'Cost Crime'!K4</f>
        <v>0.27041278971280003</v>
      </c>
      <c r="L22" s="502">
        <f>'Cost Crime'!L4</f>
        <v>5.4278858492178017</v>
      </c>
      <c r="M22" s="502">
        <f>'Cost Crime'!M4</f>
        <v>2.745522771838</v>
      </c>
      <c r="N22" s="502">
        <f>'Cost Crime'!N4</f>
        <v>0.19466387679130001</v>
      </c>
      <c r="O22" s="502">
        <f>'Cost Crime'!O4</f>
        <v>0.2252935265113</v>
      </c>
      <c r="P22" s="502">
        <f>'Cost Crime'!P4</f>
        <v>3.7098271660771012</v>
      </c>
      <c r="Q22" s="502">
        <f>'Cost Crime'!Q4</f>
        <v>1.6028657528671</v>
      </c>
      <c r="R22" s="502">
        <f>'Cost Crime'!R4</f>
        <v>0.40339235463340001</v>
      </c>
      <c r="S22" s="502">
        <f>'Cost Crime'!S4</f>
        <v>0.68162711123410002</v>
      </c>
      <c r="T22" s="502">
        <f>'Cost Crime'!T4</f>
        <v>0.87686470730690003</v>
      </c>
      <c r="U22" s="502">
        <f>'Cost Crime'!U4</f>
        <v>2.1371658856096003</v>
      </c>
      <c r="V22" s="502">
        <f>'Cost Crime'!V4</f>
        <v>0.17388650472969999</v>
      </c>
      <c r="W22" s="502">
        <f>'Cost Crime'!W4</f>
        <v>1.8625839659554002</v>
      </c>
      <c r="X22" s="502">
        <f>'Cost Crime'!X4</f>
        <v>1.2426535478342999</v>
      </c>
      <c r="Y22" s="502">
        <f>'Cost Crime'!Y4</f>
        <v>3.1884801248649004</v>
      </c>
      <c r="Z22" s="502">
        <f>'Cost Crime'!Z4</f>
        <v>0.74888634975680013</v>
      </c>
      <c r="AA22" s="502">
        <f>'Cost Crime'!AA4</f>
        <v>0.99204701566820008</v>
      </c>
      <c r="AB22" s="502">
        <f>'Cost Crime'!AB4</f>
        <v>1.8045593596625005</v>
      </c>
      <c r="AC22" s="502">
        <f>'Cost Crime'!AC4</f>
        <v>0.18433356939089995</v>
      </c>
      <c r="AD22" s="502">
        <f>'Cost Crime'!AD4</f>
        <v>0.39371506990589994</v>
      </c>
      <c r="AE22" s="502">
        <f>'Cost Crime'!AE4</f>
        <v>0.80840539679230006</v>
      </c>
      <c r="AF22" s="502">
        <f>'Cost Crime'!AF4</f>
        <v>0.17758118823760002</v>
      </c>
      <c r="AG22" s="502">
        <f>'Cost Crime'!AG4</f>
        <v>1.7883158267168002</v>
      </c>
      <c r="AH22" s="502">
        <f>'Cost Crime'!AH4</f>
        <v>0.8019176760001</v>
      </c>
      <c r="AI22" s="502">
        <f>'Cost Crime'!AI4</f>
        <v>3.8441108522285994</v>
      </c>
      <c r="AJ22" s="502">
        <f>'Cost Crime'!AJ4</f>
        <v>2.4868207531156004</v>
      </c>
      <c r="AK22" s="502">
        <f>'Cost Crime'!AK4</f>
        <v>0.13700670016300001</v>
      </c>
      <c r="AL22" s="502">
        <f>'Cost Crime'!AL4</f>
        <v>2.7493662268582995</v>
      </c>
      <c r="AM22" s="502">
        <f>'Cost Crime'!AM4</f>
        <v>1.1645550012409001</v>
      </c>
      <c r="AN22" s="502">
        <f>'Cost Crime'!AN4</f>
        <v>0.63599214026710005</v>
      </c>
      <c r="AO22" s="502">
        <f>'Cost Crime'!AO4</f>
        <v>3.1089332914751</v>
      </c>
      <c r="AP22" s="502">
        <f>'Cost Crime'!AP4</f>
        <v>0.16088985828009997</v>
      </c>
      <c r="AQ22" s="502">
        <f>'Cost Crime'!AQ4</f>
        <v>1.6961942093737998</v>
      </c>
      <c r="AR22" s="502">
        <f>'Cost Crime'!AR4</f>
        <v>0.15855643674900002</v>
      </c>
      <c r="AS22" s="502">
        <f>'Cost Crime'!AS4</f>
        <v>2.0962049834814005</v>
      </c>
      <c r="AT22" s="502">
        <f>'Cost Crime'!AT4</f>
        <v>6.4803533402397004</v>
      </c>
      <c r="AU22" s="502">
        <f>'Cost Crime'!AU4</f>
        <v>0.40572999014629996</v>
      </c>
      <c r="AV22" s="502">
        <f>'Cost Crime'!AV4</f>
        <v>7.56424561514E-2</v>
      </c>
      <c r="AW22" s="502">
        <f>'Cost Crime'!AW4</f>
        <v>1.4455158486631998</v>
      </c>
      <c r="AX22" s="502">
        <f>'Cost Crime'!AX4</f>
        <v>1.3052729054266001</v>
      </c>
      <c r="AY22" s="502">
        <f>'Cost Crime'!AY4</f>
        <v>0.40998063485079994</v>
      </c>
      <c r="AZ22" s="502">
        <f>'Cost Crime'!AZ4</f>
        <v>0.85551441423849994</v>
      </c>
      <c r="BA22" s="502">
        <f>'Cost Crime'!BA4</f>
        <v>9.6351416449799998E-2</v>
      </c>
    </row>
    <row r="23" spans="1:55" x14ac:dyDescent="0.2">
      <c r="A23" s="7" t="s">
        <v>125</v>
      </c>
      <c r="B23" s="7" t="s">
        <v>131</v>
      </c>
      <c r="C23" s="502">
        <f>'Cost Personal Pollution Abate'!C4</f>
        <v>74.267713836547372</v>
      </c>
      <c r="D23" s="502">
        <f>'Cost Personal Pollution Abate'!D4</f>
        <v>1.0219927353121305</v>
      </c>
      <c r="E23" s="502">
        <f>'Cost Personal Pollution Abate'!E4</f>
        <v>0.16440910049225224</v>
      </c>
      <c r="F23" s="502">
        <f>'Cost Personal Pollution Abate'!F4</f>
        <v>1.7370319371678185</v>
      </c>
      <c r="G23" s="502">
        <f>'Cost Personal Pollution Abate'!G4</f>
        <v>0.69055107980802721</v>
      </c>
      <c r="H23" s="502">
        <f>'Cost Personal Pollution Abate'!H4</f>
        <v>8.5040733625108871</v>
      </c>
      <c r="I23" s="502">
        <f>'Cost Personal Pollution Abate'!I4</f>
        <v>1.3426051936941592</v>
      </c>
      <c r="J23" s="502">
        <f>'Cost Personal Pollution Abate'!J4</f>
        <v>0.76629532070626905</v>
      </c>
      <c r="K23" s="502">
        <f>'Cost Personal Pollution Abate'!K4</f>
        <v>0.24134216792679883</v>
      </c>
      <c r="L23" s="502">
        <f>'Cost Personal Pollution Abate'!L4</f>
        <v>4.9366965419305897</v>
      </c>
      <c r="M23" s="502">
        <f>'Cost Personal Pollution Abate'!M4</f>
        <v>2.0181351896810598</v>
      </c>
      <c r="N23" s="502">
        <f>'Cost Personal Pollution Abate'!N4</f>
        <v>0.344038806625519</v>
      </c>
      <c r="O23" s="502">
        <f>'Cost Personal Pollution Abate'!O4</f>
        <v>0.39218357562296713</v>
      </c>
      <c r="P23" s="502">
        <f>'Cost Personal Pollution Abate'!P4</f>
        <v>3.2125163975239737</v>
      </c>
      <c r="Q23" s="502">
        <f>'Cost Personal Pollution Abate'!Q4</f>
        <v>1.51605026376055</v>
      </c>
      <c r="R23" s="502">
        <f>'Cost Personal Pollution Abate'!R4</f>
        <v>0.76955480959913669</v>
      </c>
      <c r="S23" s="502">
        <f>'Cost Personal Pollution Abate'!S4</f>
        <v>0.70863164979586724</v>
      </c>
      <c r="T23" s="502">
        <f>'Cost Personal Pollution Abate'!T4</f>
        <v>0.91873891789322348</v>
      </c>
      <c r="U23" s="502">
        <f>'Cost Personal Pollution Abate'!U4</f>
        <v>1.0704451467910698</v>
      </c>
      <c r="V23" s="502">
        <f>'Cost Personal Pollution Abate'!V4</f>
        <v>0.30264302327153336</v>
      </c>
      <c r="W23" s="502">
        <f>'Cost Personal Pollution Abate'!W4</f>
        <v>1.2857672819644597</v>
      </c>
      <c r="X23" s="502">
        <f>'Cost Personal Pollution Abate'!X4</f>
        <v>1.5808804314793892</v>
      </c>
      <c r="Y23" s="502">
        <f>'Cost Personal Pollution Abate'!Y4</f>
        <v>2.3248738008778012</v>
      </c>
      <c r="Z23" s="502">
        <f>'Cost Personal Pollution Abate'!Z4</f>
        <v>1.2736684458789878</v>
      </c>
      <c r="AA23" s="502">
        <f>'Cost Personal Pollution Abate'!AA4</f>
        <v>0.60823364013685188</v>
      </c>
      <c r="AB23" s="502">
        <f>'Cost Personal Pollution Abate'!AB4</f>
        <v>1.4489636725706498</v>
      </c>
      <c r="AC23" s="502">
        <f>'Cost Personal Pollution Abate'!AC4</f>
        <v>0.28431442084724357</v>
      </c>
      <c r="AD23" s="502">
        <f>'Cost Personal Pollution Abate'!AD4</f>
        <v>0.47562495655499532</v>
      </c>
      <c r="AE23" s="502">
        <f>'Cost Personal Pollution Abate'!AE4</f>
        <v>0.82176999511234861</v>
      </c>
      <c r="AF23" s="502">
        <f>'Cost Personal Pollution Abate'!AF4</f>
        <v>0.28004346217729842</v>
      </c>
      <c r="AG23" s="502">
        <f>'Cost Personal Pollution Abate'!AG4</f>
        <v>2.3786206119954612</v>
      </c>
      <c r="AH23" s="502">
        <f>'Cost Personal Pollution Abate'!AH4</f>
        <v>0.41401728502141627</v>
      </c>
      <c r="AI23" s="502">
        <f>'Cost Personal Pollution Abate'!AI4</f>
        <v>4.914968517929597</v>
      </c>
      <c r="AJ23" s="502">
        <f>'Cost Personal Pollution Abate'!AJ4</f>
        <v>1.9929248210559238</v>
      </c>
      <c r="AK23" s="502">
        <f>'Cost Personal Pollution Abate'!AK4</f>
        <v>0.18101410845683294</v>
      </c>
      <c r="AL23" s="502">
        <f>'Cost Personal Pollution Abate'!AL4</f>
        <v>2.8968758056763058</v>
      </c>
      <c r="AM23" s="502">
        <f>'Cost Personal Pollution Abate'!AM4</f>
        <v>0.9187971819417885</v>
      </c>
      <c r="AN23" s="502">
        <f>'Cost Personal Pollution Abate'!AN4</f>
        <v>0.90426573184947889</v>
      </c>
      <c r="AO23" s="502">
        <f>'Cost Personal Pollution Abate'!AO4</f>
        <v>3.0542742280065012</v>
      </c>
      <c r="AP23" s="502">
        <f>'Cost Personal Pollution Abate'!AP4</f>
        <v>0.2640720147158479</v>
      </c>
      <c r="AQ23" s="502">
        <f>'Cost Personal Pollution Abate'!AQ4</f>
        <v>1.0545177663958247</v>
      </c>
      <c r="AR23" s="502">
        <f>'Cost Personal Pollution Abate'!AR4</f>
        <v>0.20923184143308826</v>
      </c>
      <c r="AS23" s="502">
        <f>'Cost Personal Pollution Abate'!AS4</f>
        <v>1.40834858268081</v>
      </c>
      <c r="AT23" s="502">
        <f>'Cost Personal Pollution Abate'!AT4</f>
        <v>6.3787275392541396</v>
      </c>
      <c r="AU23" s="502">
        <f>'Cost Personal Pollution Abate'!AU4</f>
        <v>0.52574686091875322</v>
      </c>
      <c r="AV23" s="502">
        <f>'Cost Personal Pollution Abate'!AV4</f>
        <v>0.13329722268581198</v>
      </c>
      <c r="AW23" s="502">
        <f>'Cost Personal Pollution Abate'!AW4</f>
        <v>1.9306913260836214</v>
      </c>
      <c r="AX23" s="502">
        <f>'Cost Personal Pollution Abate'!AX4</f>
        <v>1.7034185122992898</v>
      </c>
      <c r="AY23" s="502">
        <f>'Cost Personal Pollution Abate'!AY4</f>
        <v>0.390588864173887</v>
      </c>
      <c r="AZ23" s="502">
        <f>'Cost Personal Pollution Abate'!AZ4</f>
        <v>1.4035022167864204</v>
      </c>
      <c r="BA23" s="502">
        <f>'Cost Personal Pollution Abate'!BA4</f>
        <v>0.16773746947270668</v>
      </c>
    </row>
    <row r="24" spans="1:55" x14ac:dyDescent="0.2">
      <c r="A24" s="7" t="s">
        <v>1021</v>
      </c>
      <c r="B24" s="7" t="s">
        <v>131</v>
      </c>
      <c r="C24" s="502">
        <f>'Value Volunteer Work'!C4</f>
        <v>176.9572010730144</v>
      </c>
      <c r="D24" s="502">
        <f>'Value Volunteer Work'!D4</f>
        <v>2.3872603598567306</v>
      </c>
      <c r="E24" s="502">
        <f>'Value Volunteer Work'!E4</f>
        <v>0.45930330955384618</v>
      </c>
      <c r="F24" s="502">
        <f>'Value Volunteer Work'!F4</f>
        <v>3.5111301730629805</v>
      </c>
      <c r="G24" s="502">
        <f>'Value Volunteer Work'!G4</f>
        <v>1.3385596727509619</v>
      </c>
      <c r="H24" s="502">
        <f>'Value Volunteer Work'!H4</f>
        <v>24.526956890782213</v>
      </c>
      <c r="I24" s="502">
        <f>'Value Volunteer Work'!I4</f>
        <v>3.0523769663336537</v>
      </c>
      <c r="J24" s="502">
        <f>'Value Volunteer Work'!J4</f>
        <v>2.4350271778990389</v>
      </c>
      <c r="K24" s="502">
        <f>'Value Volunteer Work'!K4</f>
        <v>0.5508097982048078</v>
      </c>
      <c r="L24" s="502">
        <f>'Value Volunteer Work'!L4</f>
        <v>10.118852109194712</v>
      </c>
      <c r="M24" s="502">
        <f>'Value Volunteer Work'!M4</f>
        <v>5.1780814521677891</v>
      </c>
      <c r="N24" s="502">
        <f>'Value Volunteer Work'!N4</f>
        <v>0.78857891261538482</v>
      </c>
      <c r="O24" s="502">
        <f>'Value Volunteer Work'!O4</f>
        <v>0.74072648282884612</v>
      </c>
      <c r="P24" s="502">
        <f>'Value Volunteer Work'!P4</f>
        <v>7.5430062762115391</v>
      </c>
      <c r="Q24" s="502">
        <f>'Value Volunteer Work'!Q4</f>
        <v>3.2415916643365388</v>
      </c>
      <c r="R24" s="502">
        <f>'Value Volunteer Work'!R4</f>
        <v>1.5034390150326924</v>
      </c>
      <c r="S24" s="502">
        <f>'Value Volunteer Work'!S4</f>
        <v>1.4261687826605771</v>
      </c>
      <c r="T24" s="502">
        <f>'Value Volunteer Work'!T4</f>
        <v>2.1356660526923079</v>
      </c>
      <c r="U24" s="502">
        <f>'Value Volunteer Work'!U4</f>
        <v>2.2200097688999998</v>
      </c>
      <c r="V24" s="502">
        <f>'Value Volunteer Work'!V4</f>
        <v>0.70004082777692322</v>
      </c>
      <c r="W24" s="502">
        <f>'Value Volunteer Work'!W4</f>
        <v>3.8556624794509617</v>
      </c>
      <c r="X24" s="502">
        <f>'Value Volunteer Work'!X4</f>
        <v>4.6984977646990389</v>
      </c>
      <c r="Y24" s="502">
        <f>'Value Volunteer Work'!Y4</f>
        <v>5.5004380793653853</v>
      </c>
      <c r="Z24" s="502">
        <f>'Value Volunteer Work'!Z4</f>
        <v>3.1096334672812507</v>
      </c>
      <c r="AA24" s="502">
        <f>'Value Volunteer Work'!AA4</f>
        <v>1.2840013171903848</v>
      </c>
      <c r="AB24" s="502">
        <f>'Value Volunteer Work'!AB4</f>
        <v>3.0815313254567309</v>
      </c>
      <c r="AC24" s="502">
        <f>'Value Volunteer Work'!AC4</f>
        <v>0.47160956781346147</v>
      </c>
      <c r="AD24" s="502">
        <f>'Value Volunteer Work'!AD4</f>
        <v>0.89615150049519254</v>
      </c>
      <c r="AE24" s="502">
        <f>'Value Volunteer Work'!AE4</f>
        <v>1.4275517027625002</v>
      </c>
      <c r="AF24" s="502">
        <f>'Value Volunteer Work'!AF4</f>
        <v>0.77528708421634618</v>
      </c>
      <c r="AG24" s="502">
        <f>'Value Volunteer Work'!AG4</f>
        <v>5.7983056631999998</v>
      </c>
      <c r="AH24" s="502">
        <f>'Value Volunteer Work'!AH4</f>
        <v>1.0546027566403846</v>
      </c>
      <c r="AI24" s="502">
        <f>'Value Volunteer Work'!AI4</f>
        <v>13.278714934990385</v>
      </c>
      <c r="AJ24" s="502">
        <f>'Value Volunteer Work'!AJ4</f>
        <v>5.0159888307692304</v>
      </c>
      <c r="AK24" s="502">
        <f>'Value Volunteer Work'!AK4</f>
        <v>0.34098089317500008</v>
      </c>
      <c r="AL24" s="502">
        <f>'Value Volunteer Work'!AL4</f>
        <v>6.0953748573548081</v>
      </c>
      <c r="AM24" s="502">
        <f>'Value Volunteer Work'!AM4</f>
        <v>1.8010405101634619</v>
      </c>
      <c r="AN24" s="502">
        <f>'Value Volunteer Work'!AN4</f>
        <v>2.1942510996158662</v>
      </c>
      <c r="AO24" s="502">
        <f>'Value Volunteer Work'!AO4</f>
        <v>7.267287810206251</v>
      </c>
      <c r="AP24" s="502">
        <f>'Value Volunteer Work'!AP4</f>
        <v>0.64966743440913466</v>
      </c>
      <c r="AQ24" s="502">
        <f>'Value Volunteer Work'!AQ4</f>
        <v>2.2855642512461545</v>
      </c>
      <c r="AR24" s="502">
        <f>'Value Volunteer Work'!AR4</f>
        <v>0.36436277616490387</v>
      </c>
      <c r="AS24" s="502">
        <f>'Value Volunteer Work'!AS4</f>
        <v>3.17719218639375</v>
      </c>
      <c r="AT24" s="502">
        <f>'Value Volunteer Work'!AT4</f>
        <v>13.410034974252403</v>
      </c>
      <c r="AU24" s="502">
        <f>'Value Volunteer Work'!AU4</f>
        <v>1.3276932480000001</v>
      </c>
      <c r="AV24" s="502">
        <f>'Value Volunteer Work'!AV4</f>
        <v>0.35539601971153845</v>
      </c>
      <c r="AW24" s="502">
        <f>'Value Volunteer Work'!AW4</f>
        <v>5.043502570837501</v>
      </c>
      <c r="AX24" s="502">
        <f>'Value Volunteer Work'!AX4</f>
        <v>4.3554103479000004</v>
      </c>
      <c r="AY24" s="502">
        <f>'Value Volunteer Work'!AY4</f>
        <v>0.87440278614807709</v>
      </c>
      <c r="AZ24" s="502">
        <f>'Value Volunteer Work'!AZ4</f>
        <v>3.0062137984240396</v>
      </c>
      <c r="BA24" s="502">
        <f>'Value Volunteer Work'!BA4</f>
        <v>0.30326334181875003</v>
      </c>
    </row>
    <row r="25" spans="1:55" x14ac:dyDescent="0.2">
      <c r="A25" s="7" t="s">
        <v>126</v>
      </c>
      <c r="B25" s="7" t="s">
        <v>131</v>
      </c>
      <c r="C25" s="502">
        <f>'Cost Lost Leisure'!C4</f>
        <v>689.08975888465841</v>
      </c>
      <c r="D25" s="502">
        <f>'Cost Lost Leisure'!D4</f>
        <v>8.4819239698136535</v>
      </c>
      <c r="E25" s="502">
        <f>'Cost Lost Leisure'!E4</f>
        <v>1.921247804621856</v>
      </c>
      <c r="F25" s="502">
        <f>'Cost Lost Leisure'!F4</f>
        <v>12.879648533102365</v>
      </c>
      <c r="G25" s="502">
        <f>'Cost Lost Leisure'!G4</f>
        <v>4.9847023174926814</v>
      </c>
      <c r="H25" s="502">
        <f>'Cost Lost Leisure'!H4</f>
        <v>88.997737323905056</v>
      </c>
      <c r="I25" s="502">
        <f>'Cost Lost Leisure'!I4</f>
        <v>12.971526288929388</v>
      </c>
      <c r="J25" s="502">
        <f>'Cost Lost Leisure'!J4</f>
        <v>10.056330422866019</v>
      </c>
      <c r="K25" s="502">
        <f>'Cost Lost Leisure'!K4</f>
        <v>2.1267820136775692</v>
      </c>
      <c r="L25" s="502">
        <f>'Cost Lost Leisure'!L4</f>
        <v>36.717437393961347</v>
      </c>
      <c r="M25" s="502">
        <f>'Cost Lost Leisure'!M4</f>
        <v>19.780728162462012</v>
      </c>
      <c r="N25" s="502">
        <f>'Cost Lost Leisure'!N4</f>
        <v>2.9327113368434428</v>
      </c>
      <c r="O25" s="502">
        <f>'Cost Lost Leisure'!O4</f>
        <v>2.9206094831914848</v>
      </c>
      <c r="P25" s="502">
        <f>'Cost Lost Leisure'!P4</f>
        <v>29.973020998735098</v>
      </c>
      <c r="Q25" s="502">
        <f>'Cost Lost Leisure'!Q4</f>
        <v>12.517156779371394</v>
      </c>
      <c r="R25" s="502">
        <f>'Cost Lost Leisure'!R4</f>
        <v>6.7678304418924062</v>
      </c>
      <c r="S25" s="502">
        <f>'Cost Lost Leisure'!S4</f>
        <v>6.2146347903805497</v>
      </c>
      <c r="T25" s="502">
        <f>'Cost Lost Leisure'!T4</f>
        <v>7.986837178309016</v>
      </c>
      <c r="U25" s="502">
        <f>'Cost Lost Leisure'!U4</f>
        <v>8.1867313389357452</v>
      </c>
      <c r="V25" s="502">
        <f>'Cost Lost Leisure'!V4</f>
        <v>2.8389828688428982</v>
      </c>
      <c r="W25" s="502">
        <f>'Cost Lost Leisure'!W4</f>
        <v>16.560598949607638</v>
      </c>
      <c r="X25" s="502">
        <f>'Cost Lost Leisure'!X4</f>
        <v>19.182556051614046</v>
      </c>
      <c r="Y25" s="502">
        <f>'Cost Lost Leisure'!Y4</f>
        <v>19.590902902019078</v>
      </c>
      <c r="Z25" s="502">
        <f>'Cost Lost Leisure'!Z4</f>
        <v>14.089864771670999</v>
      </c>
      <c r="AA25" s="502">
        <f>'Cost Lost Leisure'!AA4</f>
        <v>4.559892771294173</v>
      </c>
      <c r="AB25" s="502">
        <f>'Cost Lost Leisure'!AB4</f>
        <v>12.337877715507693</v>
      </c>
      <c r="AC25" s="502">
        <f>'Cost Lost Leisure'!AC4</f>
        <v>1.8389087581787997</v>
      </c>
      <c r="AD25" s="502">
        <f>'Cost Lost Leisure'!AD4</f>
        <v>4.2257838629618538</v>
      </c>
      <c r="AE25" s="502">
        <f>'Cost Lost Leisure'!AE4</f>
        <v>5.3154523828959004</v>
      </c>
      <c r="AF25" s="502">
        <f>'Cost Lost Leisure'!AF4</f>
        <v>3.494577928790954</v>
      </c>
      <c r="AG25" s="502">
        <f>'Cost Lost Leisure'!AG4</f>
        <v>23.167902344453999</v>
      </c>
      <c r="AH25" s="502">
        <f>'Cost Lost Leisure'!AH4</f>
        <v>3.7927642530515997</v>
      </c>
      <c r="AI25" s="502">
        <f>'Cost Lost Leisure'!AI4</f>
        <v>50.948539668120013</v>
      </c>
      <c r="AJ25" s="502">
        <f>'Cost Lost Leisure'!AJ4</f>
        <v>18.616226066890739</v>
      </c>
      <c r="AK25" s="502">
        <f>'Cost Lost Leisure'!AK4</f>
        <v>1.6477247540120252</v>
      </c>
      <c r="AL25" s="502">
        <f>'Cost Lost Leisure'!AL4</f>
        <v>24.228291504026661</v>
      </c>
      <c r="AM25" s="502">
        <f>'Cost Lost Leisure'!AM4</f>
        <v>7.1500254747527778</v>
      </c>
      <c r="AN25" s="502">
        <f>'Cost Lost Leisure'!AN4</f>
        <v>8.4808859608187745</v>
      </c>
      <c r="AO25" s="502">
        <f>'Cost Lost Leisure'!AO4</f>
        <v>28.636964888096252</v>
      </c>
      <c r="AP25" s="502">
        <f>'Cost Lost Leisure'!AP4</f>
        <v>2.5601927167278</v>
      </c>
      <c r="AQ25" s="502">
        <f>'Cost Lost Leisure'!AQ4</f>
        <v>8.1104002086552942</v>
      </c>
      <c r="AR25" s="502">
        <f>'Cost Lost Leisure'!AR4</f>
        <v>1.6817417639841432</v>
      </c>
      <c r="AS25" s="502">
        <f>'Cost Lost Leisure'!AS4</f>
        <v>12.166295014453125</v>
      </c>
      <c r="AT25" s="502">
        <f>'Cost Lost Leisure'!AT4</f>
        <v>54.63452351030314</v>
      </c>
      <c r="AU25" s="502">
        <f>'Cost Lost Leisure'!AU4</f>
        <v>5.6684524676574366</v>
      </c>
      <c r="AV25" s="502">
        <f>'Cost Lost Leisure'!AV4</f>
        <v>1.6097892449796003</v>
      </c>
      <c r="AW25" s="502">
        <f>'Cost Lost Leisure'!AW4</f>
        <v>21.400396606790164</v>
      </c>
      <c r="AX25" s="502">
        <f>'Cost Lost Leisure'!AX4</f>
        <v>16.935366419532834</v>
      </c>
      <c r="AY25" s="502">
        <f>'Cost Lost Leisure'!AY4</f>
        <v>2.972996543400606</v>
      </c>
      <c r="AZ25" s="502">
        <f>'Cost Lost Leisure'!AZ4</f>
        <v>12.867923370154053</v>
      </c>
      <c r="BA25" s="502">
        <f>'Cost Lost Leisure'!BA4</f>
        <v>1.3593605619222</v>
      </c>
    </row>
    <row r="26" spans="1:55" x14ac:dyDescent="0.2">
      <c r="A26" s="7" t="s">
        <v>1022</v>
      </c>
      <c r="B26" s="7" t="s">
        <v>131</v>
      </c>
      <c r="C26" s="502">
        <f>'Value Higher Ed'!D4</f>
        <v>1225.95911264957</v>
      </c>
      <c r="D26" s="502">
        <f>'Value Higher Ed'!E4</f>
        <v>14.882163769262439</v>
      </c>
      <c r="E26" s="502">
        <f>'Value Higher Ed'!F4</f>
        <v>2.5208131302076797</v>
      </c>
      <c r="F26" s="502">
        <f>'Value Higher Ed'!G4</f>
        <v>23.412164394382678</v>
      </c>
      <c r="G26" s="502">
        <f>'Value Higher Ed'!H4</f>
        <v>8.2454803069770595</v>
      </c>
      <c r="H26" s="502">
        <f>'Value Higher Ed'!I4</f>
        <v>154.79763390263614</v>
      </c>
      <c r="I26" s="502">
        <f>'Value Higher Ed'!J4</f>
        <v>25.982007110120197</v>
      </c>
      <c r="J26" s="502">
        <f>'Value Higher Ed'!K4</f>
        <v>18.494094284610359</v>
      </c>
      <c r="K26" s="502">
        <f>'Value Higher Ed'!L4</f>
        <v>3.6784992646655996</v>
      </c>
      <c r="L26" s="502">
        <f>'Value Higher Ed'!M4</f>
        <v>71.542340257533482</v>
      </c>
      <c r="M26" s="502">
        <f>'Value Higher Ed'!N4</f>
        <v>36.393063363441357</v>
      </c>
      <c r="N26" s="502">
        <f>'Value Higher Ed'!O4</f>
        <v>5.7140891162779193</v>
      </c>
      <c r="O26" s="502">
        <f>'Value Higher Ed'!P4</f>
        <v>5.2587545470992003</v>
      </c>
      <c r="P26" s="502">
        <f>'Value Higher Ed'!Q4</f>
        <v>55.212742274536396</v>
      </c>
      <c r="Q26" s="502">
        <f>'Value Higher Ed'!R4</f>
        <v>20.456245889448198</v>
      </c>
      <c r="R26" s="502">
        <f>'Value Higher Ed'!S4</f>
        <v>10.931209216843079</v>
      </c>
      <c r="S26" s="502">
        <f>'Value Higher Ed'!T4</f>
        <v>11.651483089476438</v>
      </c>
      <c r="T26" s="502">
        <f>'Value Higher Ed'!U4</f>
        <v>12.887431585121</v>
      </c>
      <c r="U26" s="502">
        <f>'Value Higher Ed'!V4</f>
        <v>13.109635980651818</v>
      </c>
      <c r="V26" s="502">
        <f>'Value Higher Ed'!W4</f>
        <v>5.5945922141320787</v>
      </c>
      <c r="W26" s="502">
        <f>'Value Higher Ed'!X4</f>
        <v>30.198314017832573</v>
      </c>
      <c r="X26" s="502">
        <f>'Value Higher Ed'!Y4</f>
        <v>36.790743729399679</v>
      </c>
      <c r="Y26" s="502">
        <f>'Value Higher Ed'!Z4</f>
        <v>35.250607248445441</v>
      </c>
      <c r="Z26" s="502">
        <f>'Value Higher Ed'!AA4</f>
        <v>24.112620013476235</v>
      </c>
      <c r="AA26" s="502">
        <f>'Value Higher Ed'!AB4</f>
        <v>7.9152667118078393</v>
      </c>
      <c r="AB26" s="502">
        <f>'Value Higher Ed'!AC4</f>
        <v>21.866533235074439</v>
      </c>
      <c r="AC26" s="502">
        <f>'Value Higher Ed'!AD4</f>
        <v>3.9889322058627594</v>
      </c>
      <c r="AD26" s="502">
        <f>'Value Higher Ed'!AE4</f>
        <v>6.9747354491644797</v>
      </c>
      <c r="AE26" s="502">
        <f>'Value Higher Ed'!AF4</f>
        <v>8.5161453411599997</v>
      </c>
      <c r="AF26" s="502">
        <f>'Value Higher Ed'!AG4</f>
        <v>6.3817927739358797</v>
      </c>
      <c r="AG26" s="502">
        <f>'Value Higher Ed'!AH4</f>
        <v>44.300784433481134</v>
      </c>
      <c r="AH26" s="502">
        <f>'Value Higher Ed'!AI4</f>
        <v>7.2455269090201586</v>
      </c>
      <c r="AI26" s="502">
        <f>'Value Higher Ed'!AJ4</f>
        <v>90.74986140600015</v>
      </c>
      <c r="AJ26" s="502">
        <f>'Value Higher Ed'!AK4</f>
        <v>35.978272560728577</v>
      </c>
      <c r="AK26" s="502">
        <f>'Value Higher Ed'!AL4</f>
        <v>2.4633492656550997</v>
      </c>
      <c r="AL26" s="502">
        <f>'Value Higher Ed'!AM4</f>
        <v>40.004378658735916</v>
      </c>
      <c r="AM26" s="502">
        <f>'Value Higher Ed'!AN4</f>
        <v>12.282427537048477</v>
      </c>
      <c r="AN26" s="502">
        <f>'Value Higher Ed'!AO4</f>
        <v>16.195881547159715</v>
      </c>
      <c r="AO26" s="502">
        <f>'Value Higher Ed'!AP4</f>
        <v>49.175039844296997</v>
      </c>
      <c r="AP26" s="502">
        <f>'Value Higher Ed'!AQ4</f>
        <v>4.6297153672287594</v>
      </c>
      <c r="AQ26" s="502">
        <f>'Value Higher Ed'!AR4</f>
        <v>15.667633536735117</v>
      </c>
      <c r="AR26" s="502">
        <f>'Value Higher Ed'!AS4</f>
        <v>2.9549967198674398</v>
      </c>
      <c r="AS26" s="502">
        <f>'Value Higher Ed'!AT4</f>
        <v>21.181922604693117</v>
      </c>
      <c r="AT26" s="502">
        <f>'Value Higher Ed'!AU4</f>
        <v>88.693163127798243</v>
      </c>
      <c r="AU26" s="502">
        <f>'Value Higher Ed'!AV4</f>
        <v>9.9856090977429588</v>
      </c>
      <c r="AV26" s="502">
        <f>'Value Higher Ed'!AW4</f>
        <v>3.2158562925700798</v>
      </c>
      <c r="AW26" s="502">
        <f>'Value Higher Ed'!AX4</f>
        <v>39.752592223303438</v>
      </c>
      <c r="AX26" s="502">
        <f>'Value Higher Ed'!AY4</f>
        <v>30.558539633952439</v>
      </c>
      <c r="AY26" s="502">
        <f>'Value Higher Ed'!AZ4</f>
        <v>5.0040788179238005</v>
      </c>
      <c r="AZ26" s="502">
        <f>'Value Higher Ed'!BA4</f>
        <v>21.2203233420997</v>
      </c>
      <c r="BA26" s="502">
        <f>'Value Higher Ed'!BB4</f>
        <v>1.9390252999457596</v>
      </c>
    </row>
    <row r="27" spans="1:55" x14ac:dyDescent="0.2">
      <c r="A27" s="7" t="s">
        <v>1023</v>
      </c>
      <c r="B27" s="7" t="s">
        <v>131</v>
      </c>
      <c r="C27" s="502">
        <f>'Services Highway Streets'!D4</f>
        <v>234.69371497202874</v>
      </c>
      <c r="D27" s="502">
        <f>'Services Highway Streets'!E4</f>
        <v>5.8536148411037834</v>
      </c>
      <c r="E27" s="502">
        <f>'Services Highway Streets'!F4</f>
        <v>0.96007620367672808</v>
      </c>
      <c r="F27" s="502">
        <f>'Services Highway Streets'!G4</f>
        <v>3.747722953506782</v>
      </c>
      <c r="G27" s="502">
        <f>'Services Highway Streets'!H4</f>
        <v>5.7622996471588781</v>
      </c>
      <c r="H27" s="502">
        <f>'Services Highway Streets'!I4</f>
        <v>9.9146652129259341</v>
      </c>
      <c r="I27" s="502">
        <f>'Services Highway Streets'!J4</f>
        <v>5.0905629713989748</v>
      </c>
      <c r="J27" s="502">
        <f>'Services Highway Streets'!K4</f>
        <v>1.2347126949233842</v>
      </c>
      <c r="K27" s="502">
        <f>'Services Highway Streets'!L4</f>
        <v>0.36606683676021812</v>
      </c>
      <c r="L27" s="502">
        <f>'Services Highway Streets'!M4</f>
        <v>7.0103699240464605</v>
      </c>
      <c r="M27" s="502">
        <f>'Services Highway Streets'!N4</f>
        <v>7.1132578506413822</v>
      </c>
      <c r="N27" s="502">
        <f>'Services Highway Streets'!O4</f>
        <v>0.25362132996677589</v>
      </c>
      <c r="O27" s="502">
        <f>'Services Highway Streets'!P4</f>
        <v>2.7954770564987217</v>
      </c>
      <c r="P27" s="502">
        <f>'Services Highway Streets'!Q4</f>
        <v>8.031706762248648</v>
      </c>
      <c r="Q27" s="502">
        <f>'Services Highway Streets'!R4</f>
        <v>5.5886510816243051</v>
      </c>
      <c r="R27" s="502">
        <f>'Services Highway Streets'!S4</f>
        <v>6.5859212419772053</v>
      </c>
      <c r="S27" s="502">
        <f>'Services Highway Streets'!T4</f>
        <v>8.0901382954595604</v>
      </c>
      <c r="T27" s="502">
        <f>'Services Highway Streets'!U4</f>
        <v>4.5611594496531911</v>
      </c>
      <c r="U27" s="502">
        <f>'Services Highway Streets'!V4</f>
        <v>3.5486621064673796</v>
      </c>
      <c r="V27" s="502">
        <f>'Services Highway Streets'!W4</f>
        <v>1.3169775513297017</v>
      </c>
      <c r="W27" s="502">
        <f>'Services Highway Streets'!X4</f>
        <v>1.8609068677037077</v>
      </c>
      <c r="X27" s="502">
        <f>'Services Highway Streets'!Y4</f>
        <v>2.0901573469525889</v>
      </c>
      <c r="Y27" s="502">
        <f>'Services Highway Streets'!Z4</f>
        <v>7.0291788964224446</v>
      </c>
      <c r="Z27" s="502">
        <f>'Services Highway Streets'!AA4</f>
        <v>7.9858625621591868</v>
      </c>
      <c r="AA27" s="502">
        <f>'Services Highway Streets'!AB4</f>
        <v>4.3250134065942154</v>
      </c>
      <c r="AB27" s="502">
        <f>'Services Highway Streets'!AC4</f>
        <v>7.5808109315270462</v>
      </c>
      <c r="AC27" s="502">
        <f>'Services Highway Streets'!AD4</f>
        <v>4.3112781850606074</v>
      </c>
      <c r="AD27" s="502">
        <f>'Services Highway Streets'!AE4</f>
        <v>5.3890850070774219</v>
      </c>
      <c r="AE27" s="502">
        <f>'Services Highway Streets'!AF4</f>
        <v>2.1210579249469568</v>
      </c>
      <c r="AF27" s="502">
        <f>'Services Highway Streets'!AG4</f>
        <v>0.92559729068634788</v>
      </c>
      <c r="AG27" s="502">
        <f>'Services Highway Streets'!AH4</f>
        <v>2.2577006914685427</v>
      </c>
      <c r="AH27" s="502">
        <f>'Services Highway Streets'!AI4</f>
        <v>3.9372766567347335</v>
      </c>
      <c r="AI27" s="502">
        <f>'Services Highway Streets'!AJ4</f>
        <v>6.5977242777645353</v>
      </c>
      <c r="AJ27" s="502">
        <f>'Services Highway Streets'!AK4</f>
        <v>6.095503838346386</v>
      </c>
      <c r="AK27" s="502">
        <f>'Services Highway Streets'!AL4</f>
        <v>5.0004979204591935</v>
      </c>
      <c r="AL27" s="502">
        <f>'Services Highway Streets'!AM4</f>
        <v>7.0960584668920852</v>
      </c>
      <c r="AM27" s="502">
        <f>'Services Highway Streets'!AN4</f>
        <v>6.4950021694284805</v>
      </c>
      <c r="AN27" s="502">
        <f>'Services Highway Streets'!AO4</f>
        <v>3.4055184005614851</v>
      </c>
      <c r="AO27" s="502">
        <f>'Services Highway Streets'!AP4</f>
        <v>6.8959086890436794</v>
      </c>
      <c r="AP27" s="502">
        <f>'Services Highway Streets'!AQ4</f>
        <v>0.3733691734865941</v>
      </c>
      <c r="AQ27" s="502">
        <f>'Services Highway Streets'!AR4</f>
        <v>3.799849823182162</v>
      </c>
      <c r="AR27" s="502">
        <f>'Services Highway Streets'!AS4</f>
        <v>4.7476521363073223</v>
      </c>
      <c r="AS27" s="502">
        <f>'Services Highway Streets'!AT4</f>
        <v>5.498045163766542</v>
      </c>
      <c r="AT27" s="502">
        <f>'Services Highway Streets'!AU4</f>
        <v>18.016075177259253</v>
      </c>
      <c r="AU27" s="502">
        <f>'Services Highway Streets'!AV4</f>
        <v>2.6274541056993104</v>
      </c>
      <c r="AV27" s="502">
        <f>'Services Highway Streets'!AW4</f>
        <v>0.82275139441398659</v>
      </c>
      <c r="AW27" s="502">
        <f>'Services Highway Streets'!AX4</f>
        <v>4.2871655617354252</v>
      </c>
      <c r="AX27" s="502">
        <f>'Services Highway Streets'!AY4</f>
        <v>4.8215580251932693</v>
      </c>
      <c r="AY27" s="502">
        <f>'Services Highway Streets'!AZ4</f>
        <v>2.2250498096305908</v>
      </c>
      <c r="AZ27" s="502">
        <f>'Services Highway Streets'!BA4</f>
        <v>6.6222524255252146</v>
      </c>
      <c r="BA27" s="502">
        <f>'Services Highway Streets'!BB4</f>
        <v>1.6266886346314005</v>
      </c>
    </row>
    <row r="28" spans="1:55" x14ac:dyDescent="0.2">
      <c r="A28" s="7" t="s">
        <v>127</v>
      </c>
      <c r="B28" s="7" t="s">
        <v>131</v>
      </c>
      <c r="C28" s="502">
        <f>'Cost Commuting'!C4</f>
        <v>410.23061592837877</v>
      </c>
      <c r="D28" s="502">
        <f>'Cost Commuting'!D4</f>
        <v>4.6704668706691201</v>
      </c>
      <c r="E28" s="502">
        <f>'Cost Commuting'!E4</f>
        <v>0.83479736285259398</v>
      </c>
      <c r="F28" s="502">
        <f>'Cost Commuting'!F4</f>
        <v>7.1238611165011729</v>
      </c>
      <c r="G28" s="502">
        <f>'Cost Commuting'!G4</f>
        <v>2.3654928118281444</v>
      </c>
      <c r="H28" s="502">
        <f>'Cost Commuting'!H4</f>
        <v>57.169452262329855</v>
      </c>
      <c r="I28" s="502">
        <f>'Cost Commuting'!I4</f>
        <v>7.1136915745987244</v>
      </c>
      <c r="J28" s="502">
        <f>'Cost Commuting'!J4</f>
        <v>5.6218350415937941</v>
      </c>
      <c r="K28" s="502">
        <f>'Cost Commuting'!K4</f>
        <v>1.2297848944477439</v>
      </c>
      <c r="L28" s="502">
        <f>'Cost Commuting'!L4</f>
        <v>21.098572680061505</v>
      </c>
      <c r="M28" s="502">
        <f>'Cost Commuting'!M4</f>
        <v>12.0487926443421</v>
      </c>
      <c r="N28" s="502">
        <f>'Cost Commuting'!N4</f>
        <v>1.9251789538586817</v>
      </c>
      <c r="O28" s="502">
        <f>'Cost Commuting'!O4</f>
        <v>1.2698028033395998</v>
      </c>
      <c r="P28" s="502">
        <f>'Cost Commuting'!P4</f>
        <v>19.947667806623269</v>
      </c>
      <c r="Q28" s="502">
        <f>'Cost Commuting'!Q4</f>
        <v>6.7256433453149809</v>
      </c>
      <c r="R28" s="502">
        <f>'Cost Commuting'!R4</f>
        <v>2.7344241398788047</v>
      </c>
      <c r="S28" s="502">
        <f>'Cost Commuting'!S4</f>
        <v>2.6135895132658367</v>
      </c>
      <c r="T28" s="502">
        <f>'Cost Commuting'!T4</f>
        <v>4.0243349405310482</v>
      </c>
      <c r="U28" s="502">
        <f>'Cost Commuting'!U4</f>
        <v>4.8112263594745759</v>
      </c>
      <c r="V28" s="502">
        <f>'Cost Commuting'!V4</f>
        <v>1.4535473170188682</v>
      </c>
      <c r="W28" s="502">
        <f>'Cost Commuting'!W4</f>
        <v>11.904899422332031</v>
      </c>
      <c r="X28" s="502">
        <f>'Cost Commuting'!X4</f>
        <v>12.565688613107275</v>
      </c>
      <c r="Y28" s="502">
        <f>'Cost Commuting'!Y4</f>
        <v>10.845056496524419</v>
      </c>
      <c r="Z28" s="502">
        <f>'Cost Commuting'!Z4</f>
        <v>7.0375627397797427</v>
      </c>
      <c r="AA28" s="502">
        <f>'Cost Commuting'!AA4</f>
        <v>2.4674851759924135</v>
      </c>
      <c r="AB28" s="502">
        <f>'Cost Commuting'!AB4</f>
        <v>6.4423053942559392</v>
      </c>
      <c r="AC28" s="502">
        <f>'Cost Commuting'!AC4</f>
        <v>0.76501721979485404</v>
      </c>
      <c r="AD28" s="502">
        <f>'Cost Commuting'!AD4</f>
        <v>1.6380171567727204</v>
      </c>
      <c r="AE28" s="502">
        <f>'Cost Commuting'!AE4</f>
        <v>3.0795351337398174</v>
      </c>
      <c r="AF28" s="502">
        <f>'Cost Commuting'!AF4</f>
        <v>1.9486908789242201</v>
      </c>
      <c r="AG28" s="502">
        <f>'Cost Commuting'!AG4</f>
        <v>17.077218141469171</v>
      </c>
      <c r="AH28" s="502">
        <f>'Cost Commuting'!AH4</f>
        <v>1.9084401233585926</v>
      </c>
      <c r="AI28" s="502">
        <f>'Cost Commuting'!AI4</f>
        <v>41.642578772149768</v>
      </c>
      <c r="AJ28" s="502">
        <f>'Cost Commuting'!AJ4</f>
        <v>10.098518910100596</v>
      </c>
      <c r="AK28" s="502">
        <f>'Cost Commuting'!AK4</f>
        <v>0.57724094415462557</v>
      </c>
      <c r="AL28" s="502">
        <f>'Cost Commuting'!AL4</f>
        <v>12.402239103097008</v>
      </c>
      <c r="AM28" s="502">
        <f>'Cost Commuting'!AM4</f>
        <v>3.3505702497693197</v>
      </c>
      <c r="AN28" s="502">
        <f>'Cost Commuting'!AN4</f>
        <v>4.153692027135361</v>
      </c>
      <c r="AO28" s="502">
        <f>'Cost Commuting'!AO4</f>
        <v>16.911279167141775</v>
      </c>
      <c r="AP28" s="502">
        <f>'Cost Commuting'!AP4</f>
        <v>1.3991364752833191</v>
      </c>
      <c r="AQ28" s="502">
        <f>'Cost Commuting'!AQ4</f>
        <v>4.4273193842739662</v>
      </c>
      <c r="AR28" s="502">
        <f>'Cost Commuting'!AR4</f>
        <v>0.59833760073028697</v>
      </c>
      <c r="AS28" s="502">
        <f>'Cost Commuting'!AS4</f>
        <v>6.5208847632986</v>
      </c>
      <c r="AT28" s="502">
        <f>'Cost Commuting'!AT4</f>
        <v>30.497081803842942</v>
      </c>
      <c r="AU28" s="502">
        <f>'Cost Commuting'!AU4</f>
        <v>2.8014676984025089</v>
      </c>
      <c r="AV28" s="502">
        <f>'Cost Commuting'!AV4</f>
        <v>0.72833296804561809</v>
      </c>
      <c r="AW28" s="502">
        <f>'Cost Commuting'!AW4</f>
        <v>13.002020111531099</v>
      </c>
      <c r="AX28" s="502">
        <f>'Cost Commuting'!AX4</f>
        <v>10.15001881668735</v>
      </c>
      <c r="AY28" s="502">
        <f>'Cost Commuting'!AY4</f>
        <v>1.7130991979279451</v>
      </c>
      <c r="AZ28" s="502">
        <f>'Cost Commuting'!AZ4</f>
        <v>6.228819387065613</v>
      </c>
      <c r="BA28" s="502">
        <f>'Cost Commuting'!BA4</f>
        <v>0.56589961315926207</v>
      </c>
    </row>
    <row r="29" spans="1:55" x14ac:dyDescent="0.2">
      <c r="A29" s="7" t="s">
        <v>128</v>
      </c>
      <c r="B29" s="7" t="s">
        <v>131</v>
      </c>
      <c r="C29" s="502">
        <f>'Cost Motor Vehicle Crashes'!C4</f>
        <v>1610.62363</v>
      </c>
      <c r="D29" s="502">
        <f>'Cost Motor Vehicle Crashes'!D4</f>
        <v>44.523733</v>
      </c>
      <c r="E29" s="502">
        <f>'Cost Motor Vehicle Crashes'!E4</f>
        <v>3.585804</v>
      </c>
      <c r="F29" s="502">
        <f>'Cost Motor Vehicle Crashes'!F4</f>
        <v>41.087337499999997</v>
      </c>
      <c r="G29" s="502">
        <f>'Cost Motor Vehicle Crashes'!G4</f>
        <v>27.341755500000001</v>
      </c>
      <c r="H29" s="502">
        <f>'Cost Motor Vehicle Crashes'!H4</f>
        <v>138.99970783333333</v>
      </c>
      <c r="I29" s="502">
        <f>'Cost Motor Vehicle Crashes'!I4</f>
        <v>22.2618665</v>
      </c>
      <c r="J29" s="502">
        <f>'Cost Motor Vehicle Crashes'!J4</f>
        <v>10.956623333333335</v>
      </c>
      <c r="K29" s="502">
        <f>'Cost Motor Vehicle Crashes'!K4</f>
        <v>4.9304804999999998</v>
      </c>
      <c r="L29" s="502">
        <f>'Cost Motor Vehicle Crashes'!L4</f>
        <v>119.42719433333335</v>
      </c>
      <c r="M29" s="502">
        <f>'Cost Motor Vehicle Crashes'!M4</f>
        <v>60.908865166666672</v>
      </c>
      <c r="N29" s="502">
        <f>'Cost Motor Vehicle Crashes'!N4</f>
        <v>4.9802833333333343</v>
      </c>
      <c r="O29" s="502">
        <f>'Cost Motor Vehicle Crashes'!O4</f>
        <v>8.3170731666666669</v>
      </c>
      <c r="P29" s="502">
        <f>'Cost Motor Vehicle Crashes'!P4</f>
        <v>45.719000999999999</v>
      </c>
      <c r="Q29" s="502">
        <f>'Cost Motor Vehicle Crashes'!Q4</f>
        <v>37.352125000000001</v>
      </c>
      <c r="R29" s="502">
        <f>'Cost Motor Vehicle Crashes'!R4</f>
        <v>17.929020000000001</v>
      </c>
      <c r="S29" s="502">
        <f>'Cost Motor Vehicle Crashes'!S4</f>
        <v>19.223893666666669</v>
      </c>
      <c r="T29" s="502">
        <f>'Cost Motor Vehicle Crashes'!T4</f>
        <v>35.907842833333333</v>
      </c>
      <c r="U29" s="502">
        <f>'Cost Motor Vehicle Crashes'!U4</f>
        <v>33.616912499999998</v>
      </c>
      <c r="V29" s="502">
        <f>'Cost Motor Vehicle Crashes'!V4</f>
        <v>6.7731853333333341</v>
      </c>
      <c r="W29" s="502">
        <f>'Cost Motor Vehicle Crashes'!W4</f>
        <v>24.154374166666667</v>
      </c>
      <c r="X29" s="502">
        <f>'Cost Motor Vehicle Crashes'!X4</f>
        <v>16.783554833333334</v>
      </c>
      <c r="Y29" s="502">
        <f>'Cost Motor Vehicle Crashes'!Y4</f>
        <v>44.274718833333338</v>
      </c>
      <c r="Z29" s="502">
        <f>'Cost Motor Vehicle Crashes'!Z4</f>
        <v>18.327442666666666</v>
      </c>
      <c r="AA29" s="502">
        <f>'Cost Motor Vehicle Crashes'!AA4</f>
        <v>31.375785</v>
      </c>
      <c r="AB29" s="502">
        <f>'Cost Motor Vehicle Crashes'!AB4</f>
        <v>39.045421333333337</v>
      </c>
      <c r="AC29" s="502">
        <f>'Cost Motor Vehicle Crashes'!AC4</f>
        <v>10.408792166666668</v>
      </c>
      <c r="AD29" s="502">
        <f>'Cost Motor Vehicle Crashes'!AD4</f>
        <v>9.0143128333333333</v>
      </c>
      <c r="AE29" s="502">
        <f>'Cost Motor Vehicle Crashes'!AE4</f>
        <v>12.251497000000001</v>
      </c>
      <c r="AF29" s="502">
        <f>'Cost Motor Vehicle Crashes'!AF4</f>
        <v>4.4822550000000003</v>
      </c>
      <c r="AG29" s="502">
        <f>'Cost Motor Vehicle Crashes'!AG4</f>
        <v>31.226376500000001</v>
      </c>
      <c r="AH29" s="502">
        <f>'Cost Motor Vehicle Crashes'!AH4</f>
        <v>17.580400166666667</v>
      </c>
      <c r="AI29" s="502">
        <f>'Cost Motor Vehicle Crashes'!AI4</f>
        <v>58.219512166666675</v>
      </c>
      <c r="AJ29" s="502">
        <f>'Cost Motor Vehicle Crashes'!AJ4</f>
        <v>61.108076500000003</v>
      </c>
      <c r="AK29" s="502">
        <f>'Cost Motor Vehicle Crashes'!AK4</f>
        <v>7.3708193333333343</v>
      </c>
      <c r="AL29" s="502">
        <f>'Cost Motor Vehicle Crashes'!AL4</f>
        <v>50.599678666666669</v>
      </c>
      <c r="AM29" s="502">
        <f>'Cost Motor Vehicle Crashes'!AM4</f>
        <v>34.662771999999997</v>
      </c>
      <c r="AN29" s="502">
        <f>'Cost Motor Vehicle Crashes'!AN4</f>
        <v>16.484737833333334</v>
      </c>
      <c r="AO29" s="502">
        <f>'Cost Motor Vehicle Crashes'!AO4</f>
        <v>64.046443666666676</v>
      </c>
      <c r="AP29" s="502">
        <f>'Cost Motor Vehicle Crashes'!AP4</f>
        <v>3.2869869999999999</v>
      </c>
      <c r="AQ29" s="502">
        <f>'Cost Motor Vehicle Crashes'!AQ4</f>
        <v>41.236745999999997</v>
      </c>
      <c r="AR29" s="502">
        <f>'Cost Motor Vehicle Crashes'!AR4</f>
        <v>5.5281145</v>
      </c>
      <c r="AS29" s="502">
        <f>'Cost Motor Vehicle Crashes'!AS4</f>
        <v>47.113480333333335</v>
      </c>
      <c r="AT29" s="502">
        <f>'Cost Motor Vehicle Crashes'!AT4</f>
        <v>150.20534533333336</v>
      </c>
      <c r="AU29" s="502">
        <f>'Cost Motor Vehicle Crashes'!AU4</f>
        <v>11.952680000000001</v>
      </c>
      <c r="AV29" s="502">
        <f>'Cost Motor Vehicle Crashes'!AV4</f>
        <v>2.7391558333333337</v>
      </c>
      <c r="AW29" s="502">
        <f>'Cost Motor Vehicle Crashes'!AW4</f>
        <v>38.049364666666669</v>
      </c>
      <c r="AX29" s="502">
        <f>'Cost Motor Vehicle Crashes'!AX4</f>
        <v>22.759894833333338</v>
      </c>
      <c r="AY29" s="502">
        <f>'Cost Motor Vehicle Crashes'!AY4</f>
        <v>16.783554833333334</v>
      </c>
      <c r="AZ29" s="502">
        <f>'Cost Motor Vehicle Crashes'!AZ4</f>
        <v>28.985249</v>
      </c>
      <c r="BA29" s="502">
        <f>'Cost Motor Vehicle Crashes'!BA4</f>
        <v>6.7233824999999996</v>
      </c>
    </row>
    <row r="31" spans="1:55" s="220" customFormat="1" x14ac:dyDescent="0.2">
      <c r="B31" s="477"/>
      <c r="C31" s="373" t="s">
        <v>96</v>
      </c>
      <c r="D31" s="373" t="s">
        <v>39</v>
      </c>
      <c r="E31" s="373" t="s">
        <v>40</v>
      </c>
      <c r="F31" s="373" t="s">
        <v>41</v>
      </c>
      <c r="G31" s="373" t="s">
        <v>42</v>
      </c>
      <c r="H31" s="373" t="s">
        <v>43</v>
      </c>
      <c r="I31" s="373" t="s">
        <v>44</v>
      </c>
      <c r="J31" s="373" t="s">
        <v>45</v>
      </c>
      <c r="K31" s="373" t="s">
        <v>46</v>
      </c>
      <c r="L31" s="373" t="s">
        <v>47</v>
      </c>
      <c r="M31" s="373" t="s">
        <v>48</v>
      </c>
      <c r="N31" s="373" t="s">
        <v>49</v>
      </c>
      <c r="O31" s="373" t="s">
        <v>50</v>
      </c>
      <c r="P31" s="373" t="s">
        <v>51</v>
      </c>
      <c r="Q31" s="373" t="s">
        <v>52</v>
      </c>
      <c r="R31" s="373" t="s">
        <v>53</v>
      </c>
      <c r="S31" s="373" t="s">
        <v>54</v>
      </c>
      <c r="T31" s="373" t="s">
        <v>55</v>
      </c>
      <c r="U31" s="373" t="s">
        <v>56</v>
      </c>
      <c r="V31" s="373" t="s">
        <v>57</v>
      </c>
      <c r="W31" s="373" t="s">
        <v>58</v>
      </c>
      <c r="X31" s="373" t="s">
        <v>59</v>
      </c>
      <c r="Y31" s="373" t="s">
        <v>60</v>
      </c>
      <c r="Z31" s="373" t="s">
        <v>61</v>
      </c>
      <c r="AA31" s="373" t="s">
        <v>62</v>
      </c>
      <c r="AB31" s="373" t="s">
        <v>63</v>
      </c>
      <c r="AC31" s="373" t="s">
        <v>64</v>
      </c>
      <c r="AD31" s="373" t="s">
        <v>65</v>
      </c>
      <c r="AE31" s="373" t="s">
        <v>66</v>
      </c>
      <c r="AF31" s="373" t="s">
        <v>67</v>
      </c>
      <c r="AG31" s="373" t="s">
        <v>68</v>
      </c>
      <c r="AH31" s="373" t="s">
        <v>69</v>
      </c>
      <c r="AI31" s="373" t="s">
        <v>70</v>
      </c>
      <c r="AJ31" s="373" t="s">
        <v>71</v>
      </c>
      <c r="AK31" s="373" t="s">
        <v>72</v>
      </c>
      <c r="AL31" s="373" t="s">
        <v>73</v>
      </c>
      <c r="AM31" s="373" t="s">
        <v>74</v>
      </c>
      <c r="AN31" s="373" t="s">
        <v>75</v>
      </c>
      <c r="AO31" s="373" t="s">
        <v>76</v>
      </c>
      <c r="AP31" s="373" t="s">
        <v>77</v>
      </c>
      <c r="AQ31" s="373" t="s">
        <v>78</v>
      </c>
      <c r="AR31" s="373" t="s">
        <v>79</v>
      </c>
      <c r="AS31" s="373" t="s">
        <v>80</v>
      </c>
      <c r="AT31" s="373" t="s">
        <v>81</v>
      </c>
      <c r="AU31" s="373" t="s">
        <v>82</v>
      </c>
      <c r="AV31" s="373" t="s">
        <v>83</v>
      </c>
      <c r="AW31" s="373" t="s">
        <v>84</v>
      </c>
      <c r="AX31" s="373" t="s">
        <v>85</v>
      </c>
      <c r="AY31" s="373" t="s">
        <v>86</v>
      </c>
      <c r="AZ31" s="373" t="s">
        <v>87</v>
      </c>
      <c r="BA31" s="373" t="s">
        <v>88</v>
      </c>
      <c r="BC31" s="9"/>
    </row>
    <row r="32" spans="1:55" x14ac:dyDescent="0.2">
      <c r="A32" s="7" t="s">
        <v>89</v>
      </c>
      <c r="B32" s="7" t="s">
        <v>130</v>
      </c>
      <c r="C32" s="374">
        <f>SUM(D32:BA32)</f>
        <v>310968796</v>
      </c>
      <c r="D32" s="479">
        <v>4803689</v>
      </c>
      <c r="E32" s="479">
        <v>723860</v>
      </c>
      <c r="F32" s="479">
        <v>6467315</v>
      </c>
      <c r="G32" s="479">
        <v>2938582</v>
      </c>
      <c r="H32" s="479">
        <v>37683933</v>
      </c>
      <c r="I32" s="479">
        <v>5116302</v>
      </c>
      <c r="J32" s="479">
        <v>3586717</v>
      </c>
      <c r="K32" s="479">
        <v>908137</v>
      </c>
      <c r="L32" s="479">
        <v>19082262</v>
      </c>
      <c r="M32" s="479">
        <v>9812460</v>
      </c>
      <c r="N32" s="479">
        <v>1378129</v>
      </c>
      <c r="O32" s="479">
        <v>1583744</v>
      </c>
      <c r="P32" s="479">
        <v>12859752</v>
      </c>
      <c r="Q32" s="479">
        <v>6516353</v>
      </c>
      <c r="R32" s="479">
        <v>3064097</v>
      </c>
      <c r="S32" s="479">
        <v>2870386</v>
      </c>
      <c r="T32" s="479">
        <v>4366814</v>
      </c>
      <c r="U32" s="479">
        <v>4574766</v>
      </c>
      <c r="V32" s="479">
        <v>1328544</v>
      </c>
      <c r="W32" s="479">
        <v>5839572</v>
      </c>
      <c r="X32" s="479">
        <v>6607003</v>
      </c>
      <c r="Y32" s="479">
        <v>9876801</v>
      </c>
      <c r="Z32" s="479">
        <v>5347299</v>
      </c>
      <c r="AA32" s="479">
        <v>2977457</v>
      </c>
      <c r="AB32" s="479">
        <v>6008984</v>
      </c>
      <c r="AC32" s="479">
        <v>997667</v>
      </c>
      <c r="AD32" s="479">
        <v>1842234</v>
      </c>
      <c r="AE32" s="479">
        <v>2720028</v>
      </c>
      <c r="AF32" s="479">
        <v>1317807</v>
      </c>
      <c r="AG32" s="479">
        <v>8834773</v>
      </c>
      <c r="AH32" s="479">
        <v>2078674</v>
      </c>
      <c r="AI32" s="479">
        <v>19501616</v>
      </c>
      <c r="AJ32" s="479">
        <v>9651103</v>
      </c>
      <c r="AK32" s="479">
        <v>684740</v>
      </c>
      <c r="AL32" s="479">
        <v>11541007</v>
      </c>
      <c r="AM32" s="479">
        <v>3784163</v>
      </c>
      <c r="AN32" s="479">
        <v>3868229</v>
      </c>
      <c r="AO32" s="479">
        <v>12743948</v>
      </c>
      <c r="AP32" s="479">
        <v>1050646</v>
      </c>
      <c r="AQ32" s="479">
        <v>4673348</v>
      </c>
      <c r="AR32" s="479">
        <v>823593</v>
      </c>
      <c r="AS32" s="479">
        <v>6399787</v>
      </c>
      <c r="AT32" s="479">
        <v>25631778</v>
      </c>
      <c r="AU32" s="479">
        <v>2814347</v>
      </c>
      <c r="AV32" s="479">
        <v>626592</v>
      </c>
      <c r="AW32" s="479">
        <v>8104384</v>
      </c>
      <c r="AX32" s="479">
        <v>6823267</v>
      </c>
      <c r="AY32" s="479">
        <v>1854908</v>
      </c>
      <c r="AZ32" s="479">
        <v>5709843</v>
      </c>
      <c r="BA32" s="479">
        <v>567356</v>
      </c>
      <c r="BB32" s="7">
        <f>SUM(D32:BA32)/C32</f>
        <v>1</v>
      </c>
      <c r="BC32" s="9" t="s">
        <v>129</v>
      </c>
    </row>
    <row r="33" spans="1:55" x14ac:dyDescent="0.2">
      <c r="A33" s="7" t="s">
        <v>93</v>
      </c>
      <c r="B33" s="7" t="s">
        <v>94</v>
      </c>
      <c r="C33" s="375">
        <f t="shared" ref="C33:BA33" si="44">C32/$C$32</f>
        <v>1</v>
      </c>
      <c r="D33" s="376">
        <f t="shared" si="44"/>
        <v>1.5447495252867751E-2</v>
      </c>
      <c r="E33" s="376">
        <f t="shared" si="44"/>
        <v>2.3277576699367612E-3</v>
      </c>
      <c r="F33" s="376">
        <f t="shared" si="44"/>
        <v>2.079731176629053E-2</v>
      </c>
      <c r="G33" s="376">
        <f t="shared" si="44"/>
        <v>9.4497648567928982E-3</v>
      </c>
      <c r="H33" s="376">
        <f t="shared" si="44"/>
        <v>0.1211823613324856</v>
      </c>
      <c r="I33" s="376">
        <f t="shared" si="44"/>
        <v>1.6452782612953874E-2</v>
      </c>
      <c r="J33" s="376">
        <f t="shared" si="44"/>
        <v>1.153400934799902E-2</v>
      </c>
      <c r="K33" s="376">
        <f t="shared" si="44"/>
        <v>2.9203476737260804E-3</v>
      </c>
      <c r="L33" s="376">
        <f t="shared" si="44"/>
        <v>6.1363912538671565E-2</v>
      </c>
      <c r="M33" s="376">
        <f t="shared" si="44"/>
        <v>3.1554484328389011E-2</v>
      </c>
      <c r="N33" s="376">
        <f t="shared" si="44"/>
        <v>4.4317276129531655E-3</v>
      </c>
      <c r="O33" s="376">
        <f t="shared" si="44"/>
        <v>5.0929354339462407E-3</v>
      </c>
      <c r="P33" s="376">
        <f t="shared" si="44"/>
        <v>4.1353834099804664E-2</v>
      </c>
      <c r="Q33" s="376">
        <f t="shared" si="44"/>
        <v>2.0955006045043825E-2</v>
      </c>
      <c r="R33" s="376">
        <f t="shared" si="44"/>
        <v>9.8533905633412817E-3</v>
      </c>
      <c r="S33" s="376">
        <f t="shared" si="44"/>
        <v>9.2304631105173656E-3</v>
      </c>
      <c r="T33" s="376">
        <f t="shared" si="44"/>
        <v>1.4042611529421749E-2</v>
      </c>
      <c r="U33" s="376">
        <f t="shared" si="44"/>
        <v>1.4711334573903679E-2</v>
      </c>
      <c r="V33" s="376">
        <f t="shared" si="44"/>
        <v>4.2722743152660246E-3</v>
      </c>
      <c r="W33" s="376">
        <f t="shared" si="44"/>
        <v>1.8778642986417196E-2</v>
      </c>
      <c r="X33" s="376">
        <f t="shared" si="44"/>
        <v>2.1246514393038974E-2</v>
      </c>
      <c r="Y33" s="376">
        <f t="shared" si="44"/>
        <v>3.1761389332452511E-2</v>
      </c>
      <c r="Z33" s="376">
        <f t="shared" si="44"/>
        <v>1.719561277138559E-2</v>
      </c>
      <c r="AA33" s="376">
        <f t="shared" si="44"/>
        <v>9.5747773998520417E-3</v>
      </c>
      <c r="AB33" s="376">
        <f t="shared" si="44"/>
        <v>1.9323430766346086E-2</v>
      </c>
      <c r="AC33" s="376">
        <f t="shared" si="44"/>
        <v>3.2082543741784302E-3</v>
      </c>
      <c r="AD33" s="376">
        <f t="shared" si="44"/>
        <v>5.9241763922834242E-3</v>
      </c>
      <c r="AE33" s="376">
        <f t="shared" si="44"/>
        <v>8.7469483594103115E-3</v>
      </c>
      <c r="AF33" s="376">
        <f t="shared" si="44"/>
        <v>4.2377467352061908E-3</v>
      </c>
      <c r="AG33" s="376">
        <f t="shared" si="44"/>
        <v>2.8410480773768697E-2</v>
      </c>
      <c r="AH33" s="376">
        <f t="shared" si="44"/>
        <v>6.6845099146217871E-3</v>
      </c>
      <c r="AI33" s="376">
        <f t="shared" si="44"/>
        <v>6.2712452988369929E-2</v>
      </c>
      <c r="AJ33" s="376">
        <f t="shared" si="44"/>
        <v>3.1035599468957651E-2</v>
      </c>
      <c r="AK33" s="376">
        <f t="shared" si="44"/>
        <v>2.2019572664776308E-3</v>
      </c>
      <c r="AL33" s="376">
        <f t="shared" si="44"/>
        <v>3.7113070984781379E-2</v>
      </c>
      <c r="AM33" s="376">
        <f t="shared" si="44"/>
        <v>1.2168947652226817E-2</v>
      </c>
      <c r="AN33" s="376">
        <f t="shared" si="44"/>
        <v>1.2439283457881093E-2</v>
      </c>
      <c r="AO33" s="376">
        <f t="shared" si="44"/>
        <v>4.0981436606906375E-2</v>
      </c>
      <c r="AP33" s="376">
        <f t="shared" si="44"/>
        <v>3.3786219502229412E-3</v>
      </c>
      <c r="AQ33" s="376">
        <f t="shared" si="44"/>
        <v>1.5028350304317994E-2</v>
      </c>
      <c r="AR33" s="376">
        <f t="shared" si="44"/>
        <v>2.6484747363526469E-3</v>
      </c>
      <c r="AS33" s="376">
        <f t="shared" si="44"/>
        <v>2.0580158145513738E-2</v>
      </c>
      <c r="AT33" s="376">
        <f t="shared" si="44"/>
        <v>8.2425562724306262E-2</v>
      </c>
      <c r="AU33" s="376">
        <f t="shared" si="44"/>
        <v>9.0502553188648548E-3</v>
      </c>
      <c r="AV33" s="376">
        <f t="shared" si="44"/>
        <v>2.0149674438717639E-3</v>
      </c>
      <c r="AW33" s="376">
        <f t="shared" si="44"/>
        <v>2.606172742811147E-2</v>
      </c>
      <c r="AX33" s="376">
        <f t="shared" si="44"/>
        <v>2.1941966807499231E-2</v>
      </c>
      <c r="AY33" s="376">
        <f t="shared" si="44"/>
        <v>5.9649328931382552E-3</v>
      </c>
      <c r="AZ33" s="376">
        <f t="shared" si="44"/>
        <v>1.8361466080989038E-2</v>
      </c>
      <c r="BA33" s="376">
        <f t="shared" si="44"/>
        <v>1.8244788779386084E-3</v>
      </c>
      <c r="BB33" s="8">
        <f>SUM(D33:BA33)</f>
        <v>0.99999999999999989</v>
      </c>
      <c r="BC33" s="9" t="s">
        <v>99</v>
      </c>
    </row>
    <row r="34" spans="1:55" x14ac:dyDescent="0.2">
      <c r="A34" s="7" t="s">
        <v>90</v>
      </c>
      <c r="B34" s="7" t="s">
        <v>98</v>
      </c>
      <c r="C34" s="374">
        <f>SUM(D34:BA34)</f>
        <v>13337587</v>
      </c>
      <c r="D34" s="480">
        <v>157272</v>
      </c>
      <c r="E34" s="480">
        <v>44732</v>
      </c>
      <c r="F34" s="480">
        <v>230641</v>
      </c>
      <c r="G34" s="480">
        <v>93892</v>
      </c>
      <c r="H34" s="480">
        <v>1751002</v>
      </c>
      <c r="I34" s="480">
        <v>239884</v>
      </c>
      <c r="J34" s="480">
        <v>197202</v>
      </c>
      <c r="K34" s="480">
        <v>56110</v>
      </c>
      <c r="L34" s="480">
        <v>672287</v>
      </c>
      <c r="M34" s="480">
        <v>374000</v>
      </c>
      <c r="N34" s="480">
        <v>61877</v>
      </c>
      <c r="O34" s="480">
        <v>50976</v>
      </c>
      <c r="P34" s="480">
        <v>594201</v>
      </c>
      <c r="Q34" s="480">
        <v>255380</v>
      </c>
      <c r="R34" s="480">
        <v>129799</v>
      </c>
      <c r="S34" s="480">
        <v>118523</v>
      </c>
      <c r="T34" s="480">
        <v>146829</v>
      </c>
      <c r="U34" s="480">
        <v>198548</v>
      </c>
      <c r="V34" s="480">
        <v>45986</v>
      </c>
      <c r="W34" s="480">
        <v>274930</v>
      </c>
      <c r="X34" s="480">
        <v>353717</v>
      </c>
      <c r="Y34" s="480">
        <v>348867</v>
      </c>
      <c r="Z34" s="480">
        <v>252971</v>
      </c>
      <c r="AA34" s="480">
        <v>86396</v>
      </c>
      <c r="AB34" s="480">
        <v>221702</v>
      </c>
      <c r="AC34" s="480">
        <v>33374</v>
      </c>
      <c r="AD34" s="480">
        <v>83393</v>
      </c>
      <c r="AE34" s="480">
        <v>113197</v>
      </c>
      <c r="AF34" s="480">
        <v>56735</v>
      </c>
      <c r="AG34" s="480">
        <v>438173</v>
      </c>
      <c r="AH34" s="480">
        <v>70699</v>
      </c>
      <c r="AI34" s="480">
        <v>1038541</v>
      </c>
      <c r="AJ34" s="480">
        <v>392905</v>
      </c>
      <c r="AK34" s="480">
        <v>38654</v>
      </c>
      <c r="AL34" s="480">
        <v>435104</v>
      </c>
      <c r="AM34" s="480">
        <v>138296</v>
      </c>
      <c r="AN34" s="480">
        <v>187440</v>
      </c>
      <c r="AO34" s="480">
        <v>511345</v>
      </c>
      <c r="AP34" s="480">
        <v>43774</v>
      </c>
      <c r="AQ34" s="480">
        <v>150596</v>
      </c>
      <c r="AR34" s="480">
        <v>35985</v>
      </c>
      <c r="AS34" s="480">
        <v>240523</v>
      </c>
      <c r="AT34" s="480">
        <v>1211692</v>
      </c>
      <c r="AU34" s="480">
        <v>111808</v>
      </c>
      <c r="AV34" s="480">
        <v>23912</v>
      </c>
      <c r="AW34" s="480">
        <v>385772</v>
      </c>
      <c r="AX34" s="480">
        <v>325165</v>
      </c>
      <c r="AY34" s="480">
        <v>56384</v>
      </c>
      <c r="AZ34" s="480">
        <v>225094</v>
      </c>
      <c r="BA34" s="480">
        <v>31302</v>
      </c>
      <c r="BB34" s="382">
        <f>SUM(D34:BA34)/C34</f>
        <v>1</v>
      </c>
      <c r="BC34" s="9" t="s">
        <v>100</v>
      </c>
    </row>
    <row r="35" spans="1:55" x14ac:dyDescent="0.2">
      <c r="A35" s="7" t="s">
        <v>91</v>
      </c>
      <c r="B35" s="7" t="s">
        <v>94</v>
      </c>
      <c r="C35" s="375">
        <f t="shared" ref="C35:BA35" si="45">C34/$C$34</f>
        <v>1</v>
      </c>
      <c r="D35" s="376">
        <f t="shared" si="45"/>
        <v>1.1791638172631977E-2</v>
      </c>
      <c r="E35" s="376">
        <f t="shared" si="45"/>
        <v>3.3538300443700948E-3</v>
      </c>
      <c r="F35" s="376">
        <f t="shared" si="45"/>
        <v>1.729255824160697E-2</v>
      </c>
      <c r="G35" s="376">
        <f t="shared" si="45"/>
        <v>7.0396541743270357E-3</v>
      </c>
      <c r="H35" s="376">
        <f t="shared" si="45"/>
        <v>0.13128326735563187</v>
      </c>
      <c r="I35" s="376">
        <f t="shared" si="45"/>
        <v>1.7985562156033173E-2</v>
      </c>
      <c r="J35" s="376">
        <f t="shared" si="45"/>
        <v>1.4785433077212543E-2</v>
      </c>
      <c r="K35" s="376">
        <f t="shared" si="45"/>
        <v>4.206907891210007E-3</v>
      </c>
      <c r="L35" s="376">
        <f t="shared" si="45"/>
        <v>5.0405444403099305E-2</v>
      </c>
      <c r="M35" s="376">
        <f t="shared" si="45"/>
        <v>2.8041054202682988E-2</v>
      </c>
      <c r="N35" s="376">
        <f t="shared" si="45"/>
        <v>4.6392949489289176E-3</v>
      </c>
      <c r="O35" s="376">
        <f t="shared" si="45"/>
        <v>3.82198069260954E-3</v>
      </c>
      <c r="P35" s="376">
        <f t="shared" si="45"/>
        <v>4.4550862161199023E-2</v>
      </c>
      <c r="Q35" s="376">
        <f t="shared" si="45"/>
        <v>1.914739150342562E-2</v>
      </c>
      <c r="R35" s="376">
        <f t="shared" si="45"/>
        <v>9.7318203060268692E-3</v>
      </c>
      <c r="S35" s="376">
        <f t="shared" si="45"/>
        <v>8.8863900194240536E-3</v>
      </c>
      <c r="T35" s="376">
        <f t="shared" si="45"/>
        <v>1.1008662961298772E-2</v>
      </c>
      <c r="U35" s="376">
        <f t="shared" si="45"/>
        <v>1.4886350881909899E-2</v>
      </c>
      <c r="V35" s="376">
        <f t="shared" si="45"/>
        <v>3.4478500496379141E-3</v>
      </c>
      <c r="W35" s="376">
        <f t="shared" si="45"/>
        <v>2.061317388220223E-2</v>
      </c>
      <c r="X35" s="376">
        <f t="shared" si="45"/>
        <v>2.652031435671235E-2</v>
      </c>
      <c r="Y35" s="376">
        <f t="shared" si="45"/>
        <v>2.615668036504654E-2</v>
      </c>
      <c r="Z35" s="376">
        <f t="shared" si="45"/>
        <v>1.896677412488481E-2</v>
      </c>
      <c r="AA35" s="376">
        <f t="shared" si="45"/>
        <v>6.4776334729812817E-3</v>
      </c>
      <c r="AB35" s="376">
        <f t="shared" si="45"/>
        <v>1.6622347055730544E-2</v>
      </c>
      <c r="AC35" s="376">
        <f t="shared" si="45"/>
        <v>2.5022517191452998E-3</v>
      </c>
      <c r="AD35" s="376">
        <f t="shared" si="45"/>
        <v>6.2524803024715039E-3</v>
      </c>
      <c r="AE35" s="376">
        <f t="shared" si="45"/>
        <v>8.4870674133184654E-3</v>
      </c>
      <c r="AF35" s="376">
        <f t="shared" si="45"/>
        <v>4.2537679416824051E-3</v>
      </c>
      <c r="AG35" s="376">
        <f t="shared" si="45"/>
        <v>3.2852494233027309E-2</v>
      </c>
      <c r="AH35" s="376">
        <f t="shared" si="45"/>
        <v>5.300733933356911E-3</v>
      </c>
      <c r="AI35" s="376">
        <f t="shared" si="45"/>
        <v>7.7865733884247584E-2</v>
      </c>
      <c r="AJ35" s="376">
        <f t="shared" si="45"/>
        <v>2.9458477009372087E-2</v>
      </c>
      <c r="AK35" s="376">
        <f t="shared" si="45"/>
        <v>2.8981254255361182E-3</v>
      </c>
      <c r="AL35" s="376">
        <f t="shared" si="45"/>
        <v>3.2622392641187645E-2</v>
      </c>
      <c r="AM35" s="376">
        <f t="shared" si="45"/>
        <v>1.0368892064209215E-2</v>
      </c>
      <c r="AN35" s="376">
        <f t="shared" si="45"/>
        <v>1.4053516576874063E-2</v>
      </c>
      <c r="AO35" s="376">
        <f t="shared" si="45"/>
        <v>3.8338644014093405E-2</v>
      </c>
      <c r="AP35" s="376">
        <f t="shared" si="45"/>
        <v>3.2820029590060031E-3</v>
      </c>
      <c r="AQ35" s="376">
        <f t="shared" si="45"/>
        <v>1.1291097857506009E-2</v>
      </c>
      <c r="AR35" s="376">
        <f t="shared" si="45"/>
        <v>2.6980142659987897E-3</v>
      </c>
      <c r="AS35" s="376">
        <f t="shared" si="45"/>
        <v>1.8033471871636151E-2</v>
      </c>
      <c r="AT35" s="376">
        <f t="shared" si="45"/>
        <v>9.0847917243201487E-2</v>
      </c>
      <c r="AU35" s="376">
        <f t="shared" si="45"/>
        <v>8.3829256371486093E-3</v>
      </c>
      <c r="AV35" s="376">
        <f t="shared" si="45"/>
        <v>1.7928280430335713E-3</v>
      </c>
      <c r="AW35" s="376">
        <f t="shared" si="45"/>
        <v>2.89236726253407E-2</v>
      </c>
      <c r="AX35" s="376">
        <f t="shared" si="45"/>
        <v>2.4379597298971694E-2</v>
      </c>
      <c r="AY35" s="376">
        <f t="shared" si="45"/>
        <v>4.2274513373371063E-3</v>
      </c>
      <c r="AZ35" s="376">
        <f t="shared" si="45"/>
        <v>1.6876665921654346E-2</v>
      </c>
      <c r="BA35" s="376">
        <f t="shared" si="45"/>
        <v>2.3469012798192058E-3</v>
      </c>
      <c r="BB35" s="11">
        <f>SUM(D35:BA35)</f>
        <v>1</v>
      </c>
    </row>
    <row r="36" spans="1:55" x14ac:dyDescent="0.2">
      <c r="A36" s="7" t="s">
        <v>101</v>
      </c>
      <c r="B36" s="7" t="s">
        <v>98</v>
      </c>
      <c r="C36" s="377">
        <f>(C34*1000000)/C32</f>
        <v>42890.435219101535</v>
      </c>
      <c r="D36" s="377">
        <f>(D34*1000000)/D32</f>
        <v>32739.838070283069</v>
      </c>
      <c r="E36" s="377">
        <f t="shared" ref="E36:BA36" si="46">(E34*1000000)/E32</f>
        <v>61796.479982317025</v>
      </c>
      <c r="F36" s="377">
        <f t="shared" si="46"/>
        <v>35662.558573380142</v>
      </c>
      <c r="G36" s="377">
        <f t="shared" si="46"/>
        <v>31951.465026329024</v>
      </c>
      <c r="H36" s="377">
        <f t="shared" si="46"/>
        <v>46465.479067697102</v>
      </c>
      <c r="I36" s="377">
        <f t="shared" si="46"/>
        <v>46886.208046358486</v>
      </c>
      <c r="J36" s="377">
        <f t="shared" si="46"/>
        <v>54981.198683921815</v>
      </c>
      <c r="K36" s="377">
        <f t="shared" si="46"/>
        <v>61785.831873384741</v>
      </c>
      <c r="L36" s="377">
        <f t="shared" si="46"/>
        <v>35230.990959038296</v>
      </c>
      <c r="M36" s="377">
        <f t="shared" si="46"/>
        <v>38114.805053982389</v>
      </c>
      <c r="N36" s="377">
        <f t="shared" si="46"/>
        <v>44899.28011093301</v>
      </c>
      <c r="O36" s="377">
        <f t="shared" si="46"/>
        <v>32187.020124464561</v>
      </c>
      <c r="P36" s="377">
        <f t="shared" si="46"/>
        <v>46206.256543672069</v>
      </c>
      <c r="Q36" s="377">
        <f t="shared" si="46"/>
        <v>39190.633165514511</v>
      </c>
      <c r="R36" s="377">
        <f t="shared" si="46"/>
        <v>42361.256840106566</v>
      </c>
      <c r="S36" s="377">
        <f t="shared" si="46"/>
        <v>41291.659031224372</v>
      </c>
      <c r="T36" s="377">
        <f t="shared" si="46"/>
        <v>33623.827348726096</v>
      </c>
      <c r="U36" s="377">
        <f t="shared" si="46"/>
        <v>43400.689783914633</v>
      </c>
      <c r="V36" s="377">
        <f t="shared" si="46"/>
        <v>34613.832887732737</v>
      </c>
      <c r="W36" s="377">
        <f t="shared" si="46"/>
        <v>47080.505215108227</v>
      </c>
      <c r="X36" s="377">
        <f t="shared" si="46"/>
        <v>53536.679187219983</v>
      </c>
      <c r="Y36" s="377">
        <f t="shared" si="46"/>
        <v>35321.861805254557</v>
      </c>
      <c r="Z36" s="377">
        <f t="shared" si="46"/>
        <v>47308.183065880548</v>
      </c>
      <c r="AA36" s="377">
        <f t="shared" si="46"/>
        <v>29016.707881927428</v>
      </c>
      <c r="AB36" s="377">
        <f t="shared" si="46"/>
        <v>36895.089086607652</v>
      </c>
      <c r="AC36" s="377">
        <f t="shared" si="46"/>
        <v>33452.043617760231</v>
      </c>
      <c r="AD36" s="377">
        <f t="shared" si="46"/>
        <v>45267.3221751417</v>
      </c>
      <c r="AE36" s="377">
        <f t="shared" si="46"/>
        <v>41616.115716455861</v>
      </c>
      <c r="AF36" s="377">
        <f t="shared" si="46"/>
        <v>43052.586607902369</v>
      </c>
      <c r="AG36" s="377">
        <f t="shared" si="46"/>
        <v>49596.407287431153</v>
      </c>
      <c r="AH36" s="377">
        <f t="shared" si="46"/>
        <v>34011.586232376983</v>
      </c>
      <c r="AI36" s="377">
        <f t="shared" si="46"/>
        <v>53254.099557698195</v>
      </c>
      <c r="AJ36" s="377">
        <f t="shared" si="46"/>
        <v>40710.89076554255</v>
      </c>
      <c r="AK36" s="377">
        <f t="shared" si="46"/>
        <v>56450.623594356985</v>
      </c>
      <c r="AL36" s="377">
        <f t="shared" si="46"/>
        <v>37700.696308389728</v>
      </c>
      <c r="AM36" s="377">
        <f t="shared" si="46"/>
        <v>36545.994451084691</v>
      </c>
      <c r="AN36" s="377">
        <f t="shared" si="46"/>
        <v>48456.283224183469</v>
      </c>
      <c r="AO36" s="377">
        <f t="shared" si="46"/>
        <v>40124.535975821622</v>
      </c>
      <c r="AP36" s="377">
        <f t="shared" si="46"/>
        <v>41663.890596832804</v>
      </c>
      <c r="AQ36" s="377">
        <f t="shared" si="46"/>
        <v>32224.435244283115</v>
      </c>
      <c r="AR36" s="377">
        <f t="shared" si="46"/>
        <v>43692.697728125422</v>
      </c>
      <c r="AS36" s="377">
        <f t="shared" si="46"/>
        <v>37582.969558205608</v>
      </c>
      <c r="AT36" s="377">
        <f t="shared" si="46"/>
        <v>47273.037399122295</v>
      </c>
      <c r="AU36" s="377">
        <f t="shared" si="46"/>
        <v>39727.865824647779</v>
      </c>
      <c r="AV36" s="377">
        <f t="shared" si="46"/>
        <v>38161.993769470406</v>
      </c>
      <c r="AW36" s="377">
        <f t="shared" si="46"/>
        <v>47600.409852247867</v>
      </c>
      <c r="AX36" s="377">
        <f t="shared" si="46"/>
        <v>47655.324055177676</v>
      </c>
      <c r="AY36" s="377">
        <f t="shared" si="46"/>
        <v>30397.194901310468</v>
      </c>
      <c r="AZ36" s="377">
        <f t="shared" si="46"/>
        <v>39422.099696961894</v>
      </c>
      <c r="BA36" s="377">
        <f t="shared" si="46"/>
        <v>55171.708768392331</v>
      </c>
      <c r="BB36" s="12">
        <f>AVERAGE(D36:BA36)/C36</f>
        <v>0.98546966918288725</v>
      </c>
    </row>
    <row r="37" spans="1:55" x14ac:dyDescent="0.2">
      <c r="A37" s="7" t="s">
        <v>101</v>
      </c>
      <c r="B37" s="7" t="s">
        <v>102</v>
      </c>
      <c r="C37" s="378" t="s">
        <v>103</v>
      </c>
      <c r="D37" s="383">
        <f t="shared" ref="D37:AI37" si="47">RANK(D36,$D$36:$BA$36)</f>
        <v>45</v>
      </c>
      <c r="E37" s="383">
        <f t="shared" si="47"/>
        <v>1</v>
      </c>
      <c r="F37" s="383">
        <f t="shared" si="47"/>
        <v>38</v>
      </c>
      <c r="G37" s="383">
        <f t="shared" si="47"/>
        <v>48</v>
      </c>
      <c r="H37" s="383">
        <f t="shared" si="47"/>
        <v>16</v>
      </c>
      <c r="I37" s="383">
        <f t="shared" si="47"/>
        <v>15</v>
      </c>
      <c r="J37" s="383">
        <f t="shared" si="47"/>
        <v>5</v>
      </c>
      <c r="K37" s="383">
        <f t="shared" si="47"/>
        <v>2</v>
      </c>
      <c r="L37" s="383">
        <f t="shared" si="47"/>
        <v>40</v>
      </c>
      <c r="M37" s="383">
        <f t="shared" si="47"/>
        <v>33</v>
      </c>
      <c r="N37" s="383">
        <f t="shared" si="47"/>
        <v>19</v>
      </c>
      <c r="O37" s="383">
        <f t="shared" si="47"/>
        <v>47</v>
      </c>
      <c r="P37" s="383">
        <f t="shared" si="47"/>
        <v>17</v>
      </c>
      <c r="Q37" s="383">
        <f t="shared" si="47"/>
        <v>31</v>
      </c>
      <c r="R37" s="383">
        <f t="shared" si="47"/>
        <v>23</v>
      </c>
      <c r="S37" s="383">
        <f t="shared" si="47"/>
        <v>26</v>
      </c>
      <c r="T37" s="383">
        <f t="shared" si="47"/>
        <v>43</v>
      </c>
      <c r="U37" s="383">
        <f t="shared" si="47"/>
        <v>21</v>
      </c>
      <c r="V37" s="383">
        <f t="shared" si="47"/>
        <v>41</v>
      </c>
      <c r="W37" s="383">
        <f t="shared" si="47"/>
        <v>14</v>
      </c>
      <c r="X37" s="383">
        <f t="shared" si="47"/>
        <v>6</v>
      </c>
      <c r="Y37" s="383">
        <f t="shared" si="47"/>
        <v>39</v>
      </c>
      <c r="Z37" s="383">
        <f t="shared" si="47"/>
        <v>12</v>
      </c>
      <c r="AA37" s="383">
        <f t="shared" si="47"/>
        <v>50</v>
      </c>
      <c r="AB37" s="383">
        <f t="shared" si="47"/>
        <v>36</v>
      </c>
      <c r="AC37" s="383">
        <f t="shared" si="47"/>
        <v>44</v>
      </c>
      <c r="AD37" s="383">
        <f t="shared" si="47"/>
        <v>18</v>
      </c>
      <c r="AE37" s="383">
        <f t="shared" si="47"/>
        <v>25</v>
      </c>
      <c r="AF37" s="383">
        <f t="shared" si="47"/>
        <v>22</v>
      </c>
      <c r="AG37" s="383">
        <f t="shared" si="47"/>
        <v>8</v>
      </c>
      <c r="AH37" s="383">
        <f t="shared" si="47"/>
        <v>42</v>
      </c>
      <c r="AI37" s="383">
        <f t="shared" si="47"/>
        <v>7</v>
      </c>
      <c r="AJ37" s="383">
        <f t="shared" ref="AJ37:BA37" si="48">RANK(AJ36,$D$36:$BA$36)</f>
        <v>27</v>
      </c>
      <c r="AK37" s="383">
        <f t="shared" si="48"/>
        <v>3</v>
      </c>
      <c r="AL37" s="383">
        <f t="shared" si="48"/>
        <v>34</v>
      </c>
      <c r="AM37" s="383">
        <f t="shared" si="48"/>
        <v>37</v>
      </c>
      <c r="AN37" s="383">
        <f t="shared" si="48"/>
        <v>9</v>
      </c>
      <c r="AO37" s="383">
        <f t="shared" si="48"/>
        <v>28</v>
      </c>
      <c r="AP37" s="383">
        <f t="shared" si="48"/>
        <v>24</v>
      </c>
      <c r="AQ37" s="383">
        <f t="shared" si="48"/>
        <v>46</v>
      </c>
      <c r="AR37" s="383">
        <f t="shared" si="48"/>
        <v>20</v>
      </c>
      <c r="AS37" s="383">
        <f t="shared" si="48"/>
        <v>35</v>
      </c>
      <c r="AT37" s="383">
        <f t="shared" si="48"/>
        <v>13</v>
      </c>
      <c r="AU37" s="383">
        <f t="shared" si="48"/>
        <v>29</v>
      </c>
      <c r="AV37" s="383">
        <f t="shared" si="48"/>
        <v>32</v>
      </c>
      <c r="AW37" s="383">
        <f t="shared" si="48"/>
        <v>11</v>
      </c>
      <c r="AX37" s="383">
        <f t="shared" si="48"/>
        <v>10</v>
      </c>
      <c r="AY37" s="383">
        <f t="shared" si="48"/>
        <v>49</v>
      </c>
      <c r="AZ37" s="383">
        <f t="shared" si="48"/>
        <v>30</v>
      </c>
      <c r="BA37" s="383">
        <f t="shared" si="48"/>
        <v>4</v>
      </c>
      <c r="BB37" s="13"/>
    </row>
    <row r="38" spans="1:55" x14ac:dyDescent="0.2">
      <c r="A38" s="207" t="s">
        <v>1000</v>
      </c>
      <c r="B38" s="7" t="s">
        <v>1001</v>
      </c>
      <c r="C38" s="379">
        <f t="shared" ref="C38:AG38" si="49">C4*1000000000/C32</f>
        <v>17295.307504444529</v>
      </c>
      <c r="D38" s="379">
        <f t="shared" si="49"/>
        <v>-943.03630457503755</v>
      </c>
      <c r="E38" s="379">
        <f t="shared" si="49"/>
        <v>65314.568265809394</v>
      </c>
      <c r="F38" s="379">
        <f t="shared" si="49"/>
        <v>17062.447527475531</v>
      </c>
      <c r="G38" s="379">
        <f t="shared" si="49"/>
        <v>779.40140520362945</v>
      </c>
      <c r="H38" s="379">
        <f t="shared" si="49"/>
        <v>24425.087041859508</v>
      </c>
      <c r="I38" s="379">
        <f t="shared" si="49"/>
        <v>21471.973763737711</v>
      </c>
      <c r="J38" s="379">
        <f t="shared" si="49"/>
        <v>29910.370001544859</v>
      </c>
      <c r="K38" s="379">
        <f t="shared" si="49"/>
        <v>22307.608079747424</v>
      </c>
      <c r="L38" s="379">
        <f t="shared" si="49"/>
        <v>19771.027293061245</v>
      </c>
      <c r="M38" s="379">
        <f t="shared" si="49"/>
        <v>12139.021270803565</v>
      </c>
      <c r="N38" s="379">
        <f t="shared" si="49"/>
        <v>29791.266721159885</v>
      </c>
      <c r="O38" s="379">
        <f t="shared" si="49"/>
        <v>19355.297098031857</v>
      </c>
      <c r="P38" s="379">
        <f t="shared" si="49"/>
        <v>17944.070078211029</v>
      </c>
      <c r="Q38" s="379">
        <f t="shared" si="49"/>
        <v>7237.9275724452427</v>
      </c>
      <c r="R38" s="379">
        <f t="shared" si="49"/>
        <v>10816.593772428409</v>
      </c>
      <c r="S38" s="379">
        <f t="shared" si="49"/>
        <v>12101.630555049824</v>
      </c>
      <c r="T38" s="379">
        <f t="shared" si="49"/>
        <v>2103.7214998477903</v>
      </c>
      <c r="U38" s="379">
        <f t="shared" si="49"/>
        <v>-9592.83266910366</v>
      </c>
      <c r="V38" s="379">
        <f t="shared" si="49"/>
        <v>21379.661112710106</v>
      </c>
      <c r="W38" s="379">
        <f t="shared" si="49"/>
        <v>27436.135272593892</v>
      </c>
      <c r="X38" s="379">
        <f t="shared" si="49"/>
        <v>35029.814427994665</v>
      </c>
      <c r="Y38" s="379">
        <f t="shared" si="49"/>
        <v>16453.38541349152</v>
      </c>
      <c r="Z38" s="379">
        <f t="shared" si="49"/>
        <v>22039.777839690898</v>
      </c>
      <c r="AA38" s="379">
        <f t="shared" si="49"/>
        <v>332.50150929958295</v>
      </c>
      <c r="AB38" s="379">
        <f t="shared" si="49"/>
        <v>12749.027329315488</v>
      </c>
      <c r="AC38" s="379">
        <f t="shared" si="49"/>
        <v>13918.092721813729</v>
      </c>
      <c r="AD38" s="379">
        <f t="shared" si="49"/>
        <v>13215.98262465353</v>
      </c>
      <c r="AE38" s="379">
        <f t="shared" si="49"/>
        <v>24732.604149566865</v>
      </c>
      <c r="AF38" s="379">
        <f t="shared" si="49"/>
        <v>27236.78882140787</v>
      </c>
      <c r="AG38" s="379">
        <f t="shared" si="49"/>
        <v>26897.723148995065</v>
      </c>
      <c r="AH38" s="379">
        <f t="shared" ref="AH38:BA38" si="50">AH4*1000000000/AH32</f>
        <v>9174.8527416720826</v>
      </c>
      <c r="AI38" s="379">
        <f t="shared" si="50"/>
        <v>28844.604524557315</v>
      </c>
      <c r="AJ38" s="379">
        <f t="shared" si="50"/>
        <v>13090.954709893265</v>
      </c>
      <c r="AK38" s="379">
        <f t="shared" si="50"/>
        <v>-7620.3368900940904</v>
      </c>
      <c r="AL38" s="379">
        <f t="shared" si="50"/>
        <v>14717.334460934711</v>
      </c>
      <c r="AM38" s="379">
        <f t="shared" si="50"/>
        <v>5974.6912873212068</v>
      </c>
      <c r="AN38" s="379">
        <f t="shared" si="50"/>
        <v>24928.213371538928</v>
      </c>
      <c r="AO38" s="379">
        <f t="shared" si="50"/>
        <v>16417.961495011707</v>
      </c>
      <c r="AP38" s="379">
        <f t="shared" si="50"/>
        <v>27032.812553773303</v>
      </c>
      <c r="AQ38" s="379">
        <f t="shared" si="50"/>
        <v>7121.8437064503714</v>
      </c>
      <c r="AR38" s="379">
        <f t="shared" si="50"/>
        <v>22764.325306858409</v>
      </c>
      <c r="AS38" s="379">
        <f t="shared" si="50"/>
        <v>11457.038130860448</v>
      </c>
      <c r="AT38" s="379">
        <f t="shared" si="50"/>
        <v>6161.7417676243012</v>
      </c>
      <c r="AU38" s="379">
        <f t="shared" si="50"/>
        <v>16872.479814119029</v>
      </c>
      <c r="AV38" s="379">
        <f t="shared" si="50"/>
        <v>25480.573414413633</v>
      </c>
      <c r="AW38" s="379">
        <f t="shared" si="50"/>
        <v>22409.298810872573</v>
      </c>
      <c r="AX38" s="379">
        <f t="shared" si="50"/>
        <v>29157.717267022519</v>
      </c>
      <c r="AY38" s="379">
        <f t="shared" si="50"/>
        <v>-4924.2618386140839</v>
      </c>
      <c r="AZ38" s="379">
        <f t="shared" si="50"/>
        <v>17056.770934400156</v>
      </c>
      <c r="BA38" s="379">
        <f t="shared" si="50"/>
        <v>-31902.896936614186</v>
      </c>
    </row>
    <row r="39" spans="1:55" x14ac:dyDescent="0.2">
      <c r="A39" s="7" t="s">
        <v>1002</v>
      </c>
      <c r="B39" s="7" t="s">
        <v>1001</v>
      </c>
      <c r="C39" s="379">
        <f>((C20-C21-C22-C23+C24-C25+C26+C27-C28-C29)/C32)*10000000000</f>
        <v>27106.357189179813</v>
      </c>
      <c r="D39" s="379">
        <f t="shared" ref="D39:BA39" si="51">((D20-D21-D22-D23+D24-D25+D26+D27-D28-D29)/D32)*10000000000</f>
        <v>-19970.230890020746</v>
      </c>
      <c r="E39" s="379">
        <f t="shared" si="51"/>
        <v>32500.414607107639</v>
      </c>
      <c r="F39" s="379">
        <f t="shared" si="51"/>
        <v>7129.0734249276929</v>
      </c>
      <c r="G39" s="379">
        <f t="shared" si="51"/>
        <v>-17310.142758694608</v>
      </c>
      <c r="H39" s="379">
        <f t="shared" si="51"/>
        <v>42072.139886008481</v>
      </c>
      <c r="I39" s="379">
        <f t="shared" si="51"/>
        <v>45205.740941822878</v>
      </c>
      <c r="J39" s="379">
        <f t="shared" si="51"/>
        <v>60074.976349333294</v>
      </c>
      <c r="K39" s="379">
        <f t="shared" si="51"/>
        <v>16193.722067443074</v>
      </c>
      <c r="L39" s="379">
        <f t="shared" si="51"/>
        <v>10250.507583829769</v>
      </c>
      <c r="M39" s="379">
        <f t="shared" si="51"/>
        <v>7141.7684525097338</v>
      </c>
      <c r="N39" s="379">
        <f t="shared" si="51"/>
        <v>71295.273072586526</v>
      </c>
      <c r="O39" s="379">
        <f t="shared" si="51"/>
        <v>29351.905209076303</v>
      </c>
      <c r="P39" s="379">
        <f t="shared" si="51"/>
        <v>44489.747726323352</v>
      </c>
      <c r="Q39" s="379">
        <f t="shared" si="51"/>
        <v>11680.736670662191</v>
      </c>
      <c r="R39" s="379">
        <f t="shared" si="51"/>
        <v>31637.964605932088</v>
      </c>
      <c r="S39" s="379">
        <f t="shared" si="51"/>
        <v>27026.56369284715</v>
      </c>
      <c r="T39" s="379">
        <f t="shared" si="51"/>
        <v>-10551.410786329132</v>
      </c>
      <c r="U39" s="379">
        <f t="shared" si="51"/>
        <v>-11146.831892663869</v>
      </c>
      <c r="V39" s="379">
        <f t="shared" si="51"/>
        <v>37809.051816539104</v>
      </c>
      <c r="W39" s="379">
        <f t="shared" si="51"/>
        <v>33544.86200004023</v>
      </c>
      <c r="X39" s="379">
        <f t="shared" si="51"/>
        <v>74989.908337365443</v>
      </c>
      <c r="Y39" s="379">
        <f t="shared" si="51"/>
        <v>36655.013647800813</v>
      </c>
      <c r="Z39" s="379">
        <f t="shared" si="51"/>
        <v>57204.975039714016</v>
      </c>
      <c r="AA39" s="379">
        <f t="shared" si="51"/>
        <v>-34548.262517660056</v>
      </c>
      <c r="AB39" s="379">
        <f t="shared" si="51"/>
        <v>12101.636224653043</v>
      </c>
      <c r="AC39" s="379">
        <f t="shared" si="51"/>
        <v>13255.319879553745</v>
      </c>
      <c r="AD39" s="379">
        <f t="shared" si="51"/>
        <v>44798.147303619699</v>
      </c>
      <c r="AE39" s="379">
        <f t="shared" si="51"/>
        <v>46381.059508613602</v>
      </c>
      <c r="AF39" s="379">
        <f t="shared" si="51"/>
        <v>52455.397525353292</v>
      </c>
      <c r="AG39" s="379">
        <f t="shared" si="51"/>
        <v>44881.515482037685</v>
      </c>
      <c r="AH39" s="379">
        <f t="shared" si="51"/>
        <v>-392.40412537940159</v>
      </c>
      <c r="AI39" s="379">
        <f t="shared" si="51"/>
        <v>69527.193197685745</v>
      </c>
      <c r="AJ39" s="379">
        <f t="shared" si="51"/>
        <v>10317.953789550129</v>
      </c>
      <c r="AK39" s="379">
        <f t="shared" si="51"/>
        <v>30950.508572549337</v>
      </c>
      <c r="AL39" s="379">
        <f t="shared" si="51"/>
        <v>29859.209094853974</v>
      </c>
      <c r="AM39" s="379">
        <f t="shared" si="51"/>
        <v>-14753.595684638289</v>
      </c>
      <c r="AN39" s="379">
        <f t="shared" si="51"/>
        <v>45343.966948781221</v>
      </c>
      <c r="AO39" s="379">
        <f t="shared" si="51"/>
        <v>27175.116090693435</v>
      </c>
      <c r="AP39" s="379">
        <f t="shared" si="51"/>
        <v>58206.504560973372</v>
      </c>
      <c r="AQ39" s="379">
        <f t="shared" si="51"/>
        <v>-14987.106494811316</v>
      </c>
      <c r="AR39" s="379">
        <f t="shared" si="51"/>
        <v>57016.281464244166</v>
      </c>
      <c r="AS39" s="379">
        <f t="shared" si="51"/>
        <v>-4301.6828527958587</v>
      </c>
      <c r="AT39" s="379">
        <f t="shared" si="51"/>
        <v>4831.4838127114017</v>
      </c>
      <c r="AU39" s="379">
        <f t="shared" si="51"/>
        <v>28032.029504749305</v>
      </c>
      <c r="AV39" s="379">
        <f t="shared" si="51"/>
        <v>58945.239030618541</v>
      </c>
      <c r="AW39" s="379">
        <f t="shared" si="51"/>
        <v>28759.701328763069</v>
      </c>
      <c r="AX39" s="379">
        <f t="shared" si="51"/>
        <v>53343.643597779555</v>
      </c>
      <c r="AY39" s="379">
        <f t="shared" si="51"/>
        <v>-14690.231528950731</v>
      </c>
      <c r="AZ39" s="379">
        <f t="shared" si="51"/>
        <v>29155.350801444129</v>
      </c>
      <c r="BA39" s="379">
        <f t="shared" si="51"/>
        <v>-28849.155612878909</v>
      </c>
    </row>
    <row r="40" spans="1:55" x14ac:dyDescent="0.2">
      <c r="A40" s="7" t="s">
        <v>965</v>
      </c>
      <c r="B40" s="7" t="s">
        <v>966</v>
      </c>
      <c r="C40" s="416">
        <v>45230</v>
      </c>
      <c r="D40" s="481">
        <v>39180</v>
      </c>
      <c r="E40" s="481">
        <v>51590</v>
      </c>
      <c r="F40" s="481">
        <v>43670</v>
      </c>
      <c r="G40" s="481">
        <v>36340</v>
      </c>
      <c r="H40" s="481">
        <v>51910</v>
      </c>
      <c r="I40" s="481">
        <v>47510</v>
      </c>
      <c r="J40" s="481">
        <v>52830</v>
      </c>
      <c r="K40" s="481">
        <v>47420</v>
      </c>
      <c r="L40" s="481">
        <v>40750</v>
      </c>
      <c r="M40" s="481">
        <v>42590</v>
      </c>
      <c r="N40" s="481">
        <v>44600</v>
      </c>
      <c r="O40" s="481">
        <v>38520</v>
      </c>
      <c r="P40" s="481">
        <v>46550</v>
      </c>
      <c r="Q40" s="481">
        <v>39700</v>
      </c>
      <c r="R40" s="481">
        <v>38820</v>
      </c>
      <c r="S40" s="481">
        <v>40030</v>
      </c>
      <c r="T40" s="481">
        <v>38640</v>
      </c>
      <c r="U40" s="481">
        <v>38780</v>
      </c>
      <c r="V40" s="481">
        <v>40190</v>
      </c>
      <c r="W40" s="481">
        <v>51860</v>
      </c>
      <c r="X40" s="481">
        <v>54740</v>
      </c>
      <c r="Y40" s="481">
        <v>43700</v>
      </c>
      <c r="Z40" s="481">
        <v>46150</v>
      </c>
      <c r="AA40" s="481">
        <v>34770</v>
      </c>
      <c r="AB40" s="481">
        <v>40500</v>
      </c>
      <c r="AC40" s="481">
        <v>36840</v>
      </c>
      <c r="AD40" s="481">
        <v>39140</v>
      </c>
      <c r="AE40" s="481">
        <v>41860</v>
      </c>
      <c r="AF40" s="481">
        <v>45220</v>
      </c>
      <c r="AG40" s="481">
        <v>51540</v>
      </c>
      <c r="AH40" s="481">
        <v>40790</v>
      </c>
      <c r="AI40" s="481">
        <v>52810</v>
      </c>
      <c r="AJ40" s="481">
        <v>41250</v>
      </c>
      <c r="AK40" s="481">
        <v>38870</v>
      </c>
      <c r="AL40" s="481">
        <v>41590</v>
      </c>
      <c r="AM40" s="481">
        <v>38190</v>
      </c>
      <c r="AN40" s="481">
        <v>44290</v>
      </c>
      <c r="AO40" s="481">
        <v>44070</v>
      </c>
      <c r="AP40" s="481">
        <v>47390</v>
      </c>
      <c r="AQ40" s="481">
        <v>38560</v>
      </c>
      <c r="AR40" s="481">
        <v>35390</v>
      </c>
      <c r="AS40" s="481">
        <v>39130</v>
      </c>
      <c r="AT40" s="481">
        <v>43090</v>
      </c>
      <c r="AU40" s="481">
        <v>40950</v>
      </c>
      <c r="AV40" s="481">
        <v>43080</v>
      </c>
      <c r="AW40" s="481">
        <v>48870</v>
      </c>
      <c r="AX40" s="481">
        <v>50280</v>
      </c>
      <c r="AY40" s="481">
        <v>36220</v>
      </c>
      <c r="AZ40" s="481">
        <v>41420</v>
      </c>
      <c r="BA40" s="481">
        <v>42510</v>
      </c>
    </row>
    <row r="41" spans="1:55" x14ac:dyDescent="0.2">
      <c r="A41" s="7" t="s">
        <v>968</v>
      </c>
      <c r="C41" s="417">
        <f>C40/52/40</f>
        <v>21.745192307692307</v>
      </c>
      <c r="D41" s="417">
        <f t="shared" ref="D41:BA41" si="52">D40/52/40</f>
        <v>18.83653846153846</v>
      </c>
      <c r="E41" s="417">
        <f t="shared" si="52"/>
        <v>24.802884615384617</v>
      </c>
      <c r="F41" s="417">
        <f t="shared" si="52"/>
        <v>20.995192307692307</v>
      </c>
      <c r="G41" s="417">
        <f t="shared" si="52"/>
        <v>17.471153846153847</v>
      </c>
      <c r="H41" s="417">
        <f t="shared" si="52"/>
        <v>24.956730769230766</v>
      </c>
      <c r="I41" s="417">
        <f t="shared" si="52"/>
        <v>22.841346153846153</v>
      </c>
      <c r="J41" s="417">
        <f t="shared" si="52"/>
        <v>25.39903846153846</v>
      </c>
      <c r="K41" s="417">
        <f t="shared" si="52"/>
        <v>22.798076923076923</v>
      </c>
      <c r="L41" s="417">
        <f t="shared" si="52"/>
        <v>19.591346153846153</v>
      </c>
      <c r="M41" s="417">
        <f t="shared" si="52"/>
        <v>20.47596153846154</v>
      </c>
      <c r="N41" s="417">
        <f t="shared" si="52"/>
        <v>21.442307692307693</v>
      </c>
      <c r="O41" s="417">
        <f t="shared" si="52"/>
        <v>18.519230769230766</v>
      </c>
      <c r="P41" s="417">
        <f t="shared" si="52"/>
        <v>22.379807692307693</v>
      </c>
      <c r="Q41" s="417">
        <f t="shared" si="52"/>
        <v>19.08653846153846</v>
      </c>
      <c r="R41" s="417">
        <f t="shared" si="52"/>
        <v>18.66346153846154</v>
      </c>
      <c r="S41" s="417">
        <f t="shared" si="52"/>
        <v>19.245192307692307</v>
      </c>
      <c r="T41" s="417">
        <f t="shared" si="52"/>
        <v>18.576923076923077</v>
      </c>
      <c r="U41" s="417">
        <f t="shared" si="52"/>
        <v>18.644230769230766</v>
      </c>
      <c r="V41" s="417">
        <f t="shared" si="52"/>
        <v>19.322115384615383</v>
      </c>
      <c r="W41" s="417">
        <f t="shared" si="52"/>
        <v>24.932692307692307</v>
      </c>
      <c r="X41" s="417">
        <f t="shared" si="52"/>
        <v>26.31730769230769</v>
      </c>
      <c r="Y41" s="417">
        <f t="shared" si="52"/>
        <v>21.009615384615383</v>
      </c>
      <c r="Z41" s="417">
        <f t="shared" si="52"/>
        <v>22.1875</v>
      </c>
      <c r="AA41" s="417">
        <f t="shared" si="52"/>
        <v>16.716346153846153</v>
      </c>
      <c r="AB41" s="417">
        <f t="shared" si="52"/>
        <v>19.471153846153847</v>
      </c>
      <c r="AC41" s="417">
        <f t="shared" si="52"/>
        <v>17.71153846153846</v>
      </c>
      <c r="AD41" s="417">
        <f t="shared" si="52"/>
        <v>18.817307692307693</v>
      </c>
      <c r="AE41" s="417">
        <f t="shared" si="52"/>
        <v>20.125</v>
      </c>
      <c r="AF41" s="417">
        <f t="shared" si="52"/>
        <v>21.740384615384617</v>
      </c>
      <c r="AG41" s="417">
        <f t="shared" si="52"/>
        <v>24.778846153846153</v>
      </c>
      <c r="AH41" s="417">
        <f t="shared" si="52"/>
        <v>19.610576923076923</v>
      </c>
      <c r="AI41" s="417">
        <f t="shared" si="52"/>
        <v>25.389423076923077</v>
      </c>
      <c r="AJ41" s="417">
        <f t="shared" si="52"/>
        <v>19.831730769230766</v>
      </c>
      <c r="AK41" s="417">
        <f t="shared" si="52"/>
        <v>18.6875</v>
      </c>
      <c r="AL41" s="417">
        <f t="shared" si="52"/>
        <v>19.995192307692307</v>
      </c>
      <c r="AM41" s="417">
        <f t="shared" si="52"/>
        <v>18.360576923076923</v>
      </c>
      <c r="AN41" s="417">
        <f t="shared" si="52"/>
        <v>21.293269230769234</v>
      </c>
      <c r="AO41" s="417">
        <f t="shared" si="52"/>
        <v>21.1875</v>
      </c>
      <c r="AP41" s="417">
        <f t="shared" si="52"/>
        <v>22.783653846153847</v>
      </c>
      <c r="AQ41" s="417">
        <f t="shared" si="52"/>
        <v>18.53846153846154</v>
      </c>
      <c r="AR41" s="417">
        <f t="shared" si="52"/>
        <v>17.014423076923077</v>
      </c>
      <c r="AS41" s="417">
        <f t="shared" si="52"/>
        <v>18.8125</v>
      </c>
      <c r="AT41" s="417">
        <f t="shared" si="52"/>
        <v>20.716346153846153</v>
      </c>
      <c r="AU41" s="417">
        <f t="shared" si="52"/>
        <v>19.6875</v>
      </c>
      <c r="AV41" s="417">
        <f t="shared" si="52"/>
        <v>20.71153846153846</v>
      </c>
      <c r="AW41" s="417">
        <f t="shared" si="52"/>
        <v>23.495192307692307</v>
      </c>
      <c r="AX41" s="417">
        <f t="shared" si="52"/>
        <v>24.173076923076923</v>
      </c>
      <c r="AY41" s="417">
        <f t="shared" si="52"/>
        <v>17.41346153846154</v>
      </c>
      <c r="AZ41" s="417">
        <f t="shared" si="52"/>
        <v>19.91346153846154</v>
      </c>
      <c r="BA41" s="417">
        <f t="shared" si="52"/>
        <v>20.4375</v>
      </c>
    </row>
    <row r="42" spans="1:55" x14ac:dyDescent="0.2">
      <c r="A42" s="7" t="s">
        <v>967</v>
      </c>
      <c r="B42" s="7" t="s">
        <v>964</v>
      </c>
      <c r="C42" s="417">
        <f t="shared" ref="C42:AH42" si="53">IF(AverageWageCase=$C$44,C41,IF(AverageWageCase=$D$44,C41*(1+$D$45),IF(AverageWageCase=$E$44,C41*(1+$E$45))))</f>
        <v>21.745192307692307</v>
      </c>
      <c r="D42" s="417">
        <f t="shared" si="53"/>
        <v>18.83653846153846</v>
      </c>
      <c r="E42" s="417">
        <f t="shared" si="53"/>
        <v>24.802884615384617</v>
      </c>
      <c r="F42" s="417">
        <f t="shared" si="53"/>
        <v>20.995192307692307</v>
      </c>
      <c r="G42" s="417">
        <f t="shared" si="53"/>
        <v>17.471153846153847</v>
      </c>
      <c r="H42" s="417">
        <f t="shared" si="53"/>
        <v>24.956730769230766</v>
      </c>
      <c r="I42" s="417">
        <f t="shared" si="53"/>
        <v>22.841346153846153</v>
      </c>
      <c r="J42" s="417">
        <f t="shared" si="53"/>
        <v>25.39903846153846</v>
      </c>
      <c r="K42" s="417">
        <f t="shared" si="53"/>
        <v>22.798076923076923</v>
      </c>
      <c r="L42" s="417">
        <f t="shared" si="53"/>
        <v>19.591346153846153</v>
      </c>
      <c r="M42" s="417">
        <f t="shared" si="53"/>
        <v>20.47596153846154</v>
      </c>
      <c r="N42" s="417">
        <f t="shared" si="53"/>
        <v>21.442307692307693</v>
      </c>
      <c r="O42" s="417">
        <f t="shared" si="53"/>
        <v>18.519230769230766</v>
      </c>
      <c r="P42" s="417">
        <f t="shared" si="53"/>
        <v>22.379807692307693</v>
      </c>
      <c r="Q42" s="417">
        <f t="shared" si="53"/>
        <v>19.08653846153846</v>
      </c>
      <c r="R42" s="417">
        <f t="shared" si="53"/>
        <v>18.66346153846154</v>
      </c>
      <c r="S42" s="417">
        <f t="shared" si="53"/>
        <v>19.245192307692307</v>
      </c>
      <c r="T42" s="417">
        <f t="shared" si="53"/>
        <v>18.576923076923077</v>
      </c>
      <c r="U42" s="417">
        <f t="shared" si="53"/>
        <v>18.644230769230766</v>
      </c>
      <c r="V42" s="417">
        <f t="shared" si="53"/>
        <v>19.322115384615383</v>
      </c>
      <c r="W42" s="417">
        <f t="shared" si="53"/>
        <v>24.932692307692307</v>
      </c>
      <c r="X42" s="417">
        <f t="shared" si="53"/>
        <v>26.31730769230769</v>
      </c>
      <c r="Y42" s="417">
        <f t="shared" si="53"/>
        <v>21.009615384615383</v>
      </c>
      <c r="Z42" s="417">
        <f t="shared" si="53"/>
        <v>22.1875</v>
      </c>
      <c r="AA42" s="417">
        <f t="shared" si="53"/>
        <v>16.716346153846153</v>
      </c>
      <c r="AB42" s="417">
        <f t="shared" si="53"/>
        <v>19.471153846153847</v>
      </c>
      <c r="AC42" s="417">
        <f t="shared" si="53"/>
        <v>17.71153846153846</v>
      </c>
      <c r="AD42" s="417">
        <f t="shared" si="53"/>
        <v>18.817307692307693</v>
      </c>
      <c r="AE42" s="417">
        <f t="shared" si="53"/>
        <v>20.125</v>
      </c>
      <c r="AF42" s="417">
        <f t="shared" si="53"/>
        <v>21.740384615384617</v>
      </c>
      <c r="AG42" s="417">
        <f t="shared" si="53"/>
        <v>24.778846153846153</v>
      </c>
      <c r="AH42" s="417">
        <f t="shared" si="53"/>
        <v>19.610576923076923</v>
      </c>
      <c r="AI42" s="417">
        <f t="shared" ref="AI42:BN42" si="54">IF(AverageWageCase=$C$44,AI41,IF(AverageWageCase=$D$44,AI41*(1+$D$45),IF(AverageWageCase=$E$44,AI41*(1+$E$45))))</f>
        <v>25.389423076923077</v>
      </c>
      <c r="AJ42" s="417">
        <f t="shared" si="54"/>
        <v>19.831730769230766</v>
      </c>
      <c r="AK42" s="417">
        <f t="shared" si="54"/>
        <v>18.6875</v>
      </c>
      <c r="AL42" s="417">
        <f t="shared" si="54"/>
        <v>19.995192307692307</v>
      </c>
      <c r="AM42" s="417">
        <f t="shared" si="54"/>
        <v>18.360576923076923</v>
      </c>
      <c r="AN42" s="417">
        <f t="shared" si="54"/>
        <v>21.293269230769234</v>
      </c>
      <c r="AO42" s="417">
        <f t="shared" si="54"/>
        <v>21.1875</v>
      </c>
      <c r="AP42" s="417">
        <f t="shared" si="54"/>
        <v>22.783653846153847</v>
      </c>
      <c r="AQ42" s="417">
        <f t="shared" si="54"/>
        <v>18.53846153846154</v>
      </c>
      <c r="AR42" s="417">
        <f t="shared" si="54"/>
        <v>17.014423076923077</v>
      </c>
      <c r="AS42" s="417">
        <f t="shared" si="54"/>
        <v>18.8125</v>
      </c>
      <c r="AT42" s="417">
        <f t="shared" si="54"/>
        <v>20.716346153846153</v>
      </c>
      <c r="AU42" s="417">
        <f t="shared" si="54"/>
        <v>19.6875</v>
      </c>
      <c r="AV42" s="417">
        <f t="shared" si="54"/>
        <v>20.71153846153846</v>
      </c>
      <c r="AW42" s="417">
        <f t="shared" si="54"/>
        <v>23.495192307692307</v>
      </c>
      <c r="AX42" s="417">
        <f t="shared" si="54"/>
        <v>24.173076923076923</v>
      </c>
      <c r="AY42" s="417">
        <f t="shared" si="54"/>
        <v>17.41346153846154</v>
      </c>
      <c r="AZ42" s="417">
        <f t="shared" si="54"/>
        <v>19.91346153846154</v>
      </c>
      <c r="BA42" s="417">
        <f t="shared" si="54"/>
        <v>20.4375</v>
      </c>
    </row>
    <row r="44" spans="1:55" x14ac:dyDescent="0.2">
      <c r="A44" s="402"/>
      <c r="B44" s="402"/>
      <c r="C44" s="402"/>
      <c r="D44" s="402"/>
      <c r="E44" s="402"/>
    </row>
    <row r="45" spans="1:55" x14ac:dyDescent="0.2">
      <c r="D45" s="421"/>
      <c r="E45" s="421"/>
    </row>
    <row r="49" spans="1:53" x14ac:dyDescent="0.2">
      <c r="A49" s="7" t="s">
        <v>1003</v>
      </c>
      <c r="B49" s="7" t="s">
        <v>1001</v>
      </c>
      <c r="D49" s="372">
        <f>D19*100000000/D32</f>
        <v>1387.2987606012939</v>
      </c>
      <c r="E49" s="372">
        <f t="shared" ref="E49:BA49" si="55">E19*100000000/E32</f>
        <v>2286.9338241326973</v>
      </c>
      <c r="F49" s="372">
        <f t="shared" si="55"/>
        <v>732.50684466477446</v>
      </c>
      <c r="G49" s="372">
        <f t="shared" si="55"/>
        <v>1078.3090329465576</v>
      </c>
      <c r="H49" s="372">
        <f t="shared" si="55"/>
        <v>454.83060336582537</v>
      </c>
      <c r="I49" s="372">
        <f t="shared" si="55"/>
        <v>728.1717079577943</v>
      </c>
      <c r="J49" s="372">
        <f t="shared" si="55"/>
        <v>595.36579131383905</v>
      </c>
      <c r="K49" s="372">
        <f t="shared" si="55"/>
        <v>624.85082361282775</v>
      </c>
      <c r="L49" s="372">
        <f t="shared" si="55"/>
        <v>566.14344207240754</v>
      </c>
      <c r="M49" s="372">
        <f t="shared" si="55"/>
        <v>739.09343757804572</v>
      </c>
      <c r="N49" s="372">
        <f t="shared" si="55"/>
        <v>546.13113570665837</v>
      </c>
      <c r="O49" s="372">
        <f t="shared" si="55"/>
        <v>426.42491263405009</v>
      </c>
      <c r="P49" s="372">
        <f t="shared" si="55"/>
        <v>959.74533267150196</v>
      </c>
      <c r="Q49" s="372">
        <f t="shared" si="55"/>
        <v>1210.2620288647856</v>
      </c>
      <c r="R49" s="372">
        <f t="shared" si="55"/>
        <v>1131.0806725969733</v>
      </c>
      <c r="S49" s="372">
        <f t="shared" si="55"/>
        <v>1105.4425912982972</v>
      </c>
      <c r="T49" s="372">
        <f t="shared" si="55"/>
        <v>1251.1486335998916</v>
      </c>
      <c r="U49" s="372">
        <f t="shared" si="55"/>
        <v>2313.0592865450035</v>
      </c>
      <c r="V49" s="372">
        <f t="shared" si="55"/>
        <v>632.27116374114291</v>
      </c>
      <c r="W49" s="372">
        <f t="shared" si="55"/>
        <v>524.84272705563046</v>
      </c>
      <c r="X49" s="372">
        <f t="shared" si="55"/>
        <v>490.53021613780578</v>
      </c>
      <c r="Y49" s="372">
        <f t="shared" si="55"/>
        <v>765.76392893191701</v>
      </c>
      <c r="Z49" s="372">
        <f t="shared" si="55"/>
        <v>798.63835549847499</v>
      </c>
      <c r="AA49" s="372">
        <f t="shared" si="55"/>
        <v>1028.9478847430225</v>
      </c>
      <c r="AB49" s="372">
        <f t="shared" si="55"/>
        <v>898.20208192244945</v>
      </c>
      <c r="AC49" s="372">
        <f t="shared" si="55"/>
        <v>1198.3601352741407</v>
      </c>
      <c r="AD49" s="372">
        <f t="shared" si="55"/>
        <v>1203.793734550597</v>
      </c>
      <c r="AE49" s="372">
        <f t="shared" si="55"/>
        <v>583.02084560121875</v>
      </c>
      <c r="AF49" s="372">
        <f t="shared" si="55"/>
        <v>781.35475404295062</v>
      </c>
      <c r="AG49" s="372">
        <f t="shared" si="55"/>
        <v>690.15874384926349</v>
      </c>
      <c r="AH49" s="372">
        <f t="shared" si="55"/>
        <v>1099.0319894177378</v>
      </c>
      <c r="AI49" s="372">
        <f t="shared" si="55"/>
        <v>454.67030382234879</v>
      </c>
      <c r="AJ49" s="372">
        <f t="shared" si="55"/>
        <v>656.8226648384408</v>
      </c>
      <c r="AK49" s="372">
        <f t="shared" si="55"/>
        <v>2774.7048956482608</v>
      </c>
      <c r="AL49" s="372">
        <f t="shared" si="55"/>
        <v>840.15924035844034</v>
      </c>
      <c r="AM49" s="372">
        <f t="shared" si="55"/>
        <v>1200.1288405324019</v>
      </c>
      <c r="AN49" s="372">
        <f t="shared" si="55"/>
        <v>411.05319994189347</v>
      </c>
      <c r="AO49" s="372">
        <f t="shared" si="55"/>
        <v>978.84052587286237</v>
      </c>
      <c r="AP49" s="372">
        <f t="shared" si="55"/>
        <v>502.30102947057736</v>
      </c>
      <c r="AQ49" s="372">
        <f t="shared" si="55"/>
        <v>1053.9419647907257</v>
      </c>
      <c r="AR49" s="372">
        <f t="shared" si="55"/>
        <v>730.32457618661613</v>
      </c>
      <c r="AS49" s="372">
        <f t="shared" si="55"/>
        <v>769.44557000955626</v>
      </c>
      <c r="AT49" s="372">
        <f t="shared" si="55"/>
        <v>1281.9311218798541</v>
      </c>
      <c r="AU49" s="372">
        <f t="shared" si="55"/>
        <v>888.13398854521415</v>
      </c>
      <c r="AV49" s="372">
        <f t="shared" si="55"/>
        <v>696.2822104927061</v>
      </c>
      <c r="AW49" s="372">
        <f t="shared" si="55"/>
        <v>602.65307245272368</v>
      </c>
      <c r="AX49" s="372">
        <f t="shared" si="55"/>
        <v>430.11525852746445</v>
      </c>
      <c r="AY49" s="372">
        <f t="shared" si="55"/>
        <v>1853.3382269464028</v>
      </c>
      <c r="AZ49" s="372">
        <f t="shared" si="55"/>
        <v>752.94220681375498</v>
      </c>
      <c r="BA49" s="372">
        <f t="shared" si="55"/>
        <v>4133.0621900314018</v>
      </c>
    </row>
    <row r="51" spans="1:53" x14ac:dyDescent="0.2">
      <c r="B51" s="13"/>
      <c r="C51" s="18" t="s">
        <v>95</v>
      </c>
      <c r="D51" s="18" t="s">
        <v>170</v>
      </c>
      <c r="E51" s="18" t="s">
        <v>171</v>
      </c>
      <c r="F51" s="18" t="s">
        <v>172</v>
      </c>
      <c r="G51" s="18" t="s">
        <v>173</v>
      </c>
      <c r="H51" s="18" t="s">
        <v>174</v>
      </c>
      <c r="I51" s="18" t="s">
        <v>175</v>
      </c>
      <c r="J51" s="18" t="s">
        <v>176</v>
      </c>
      <c r="K51" s="18" t="s">
        <v>177</v>
      </c>
      <c r="L51" s="18" t="s">
        <v>178</v>
      </c>
      <c r="M51" s="18" t="s">
        <v>179</v>
      </c>
      <c r="N51" s="18" t="s">
        <v>180</v>
      </c>
      <c r="O51" s="18" t="s">
        <v>181</v>
      </c>
      <c r="P51" s="18" t="s">
        <v>182</v>
      </c>
      <c r="Q51" s="18" t="s">
        <v>183</v>
      </c>
      <c r="R51" s="18" t="s">
        <v>184</v>
      </c>
      <c r="S51" s="18" t="s">
        <v>185</v>
      </c>
      <c r="T51" s="18" t="s">
        <v>186</v>
      </c>
      <c r="U51" s="18" t="s">
        <v>187</v>
      </c>
      <c r="V51" s="18" t="s">
        <v>188</v>
      </c>
      <c r="W51" s="18" t="s">
        <v>189</v>
      </c>
      <c r="X51" s="18" t="s">
        <v>190</v>
      </c>
      <c r="Y51" s="18" t="s">
        <v>191</v>
      </c>
      <c r="Z51" s="18" t="s">
        <v>192</v>
      </c>
      <c r="AA51" s="18" t="s">
        <v>193</v>
      </c>
      <c r="AB51" s="18" t="s">
        <v>194</v>
      </c>
      <c r="AC51" s="18" t="s">
        <v>195</v>
      </c>
      <c r="AD51" s="18" t="s">
        <v>196</v>
      </c>
      <c r="AE51" s="18" t="s">
        <v>197</v>
      </c>
      <c r="AF51" s="18" t="s">
        <v>198</v>
      </c>
      <c r="AG51" s="18" t="s">
        <v>199</v>
      </c>
      <c r="AH51" s="18" t="s">
        <v>200</v>
      </c>
      <c r="AI51" s="18" t="s">
        <v>201</v>
      </c>
      <c r="AJ51" s="18" t="s">
        <v>202</v>
      </c>
      <c r="AK51" s="18" t="s">
        <v>203</v>
      </c>
      <c r="AL51" s="18" t="s">
        <v>204</v>
      </c>
      <c r="AM51" s="18" t="s">
        <v>205</v>
      </c>
      <c r="AN51" s="18" t="s">
        <v>206</v>
      </c>
      <c r="AO51" s="18" t="s">
        <v>207</v>
      </c>
      <c r="AP51" s="18" t="s">
        <v>208</v>
      </c>
      <c r="AQ51" s="18" t="s">
        <v>209</v>
      </c>
      <c r="AR51" s="18" t="s">
        <v>210</v>
      </c>
      <c r="AS51" s="18" t="s">
        <v>211</v>
      </c>
      <c r="AT51" s="18" t="s">
        <v>212</v>
      </c>
      <c r="AU51" s="18" t="s">
        <v>213</v>
      </c>
      <c r="AV51" s="18" t="s">
        <v>214</v>
      </c>
      <c r="AW51" s="18" t="s">
        <v>265</v>
      </c>
      <c r="AX51" s="18" t="s">
        <v>266</v>
      </c>
      <c r="AY51" s="18" t="s">
        <v>267</v>
      </c>
      <c r="AZ51" s="18" t="s">
        <v>215</v>
      </c>
      <c r="BA51" s="18" t="s">
        <v>216</v>
      </c>
    </row>
    <row r="52" spans="1:53" x14ac:dyDescent="0.2">
      <c r="A52" s="7" t="s">
        <v>90</v>
      </c>
      <c r="B52" s="7" t="s">
        <v>1004</v>
      </c>
      <c r="C52" s="374">
        <f>SUM(D52:BA52)</f>
        <v>14852580</v>
      </c>
      <c r="D52" s="478">
        <v>178533</v>
      </c>
      <c r="E52" s="478">
        <v>51237</v>
      </c>
      <c r="F52" s="478">
        <v>255989</v>
      </c>
      <c r="G52" s="478">
        <v>106557</v>
      </c>
      <c r="H52" s="478">
        <v>1908985</v>
      </c>
      <c r="I52" s="478">
        <v>264733</v>
      </c>
      <c r="J52" s="478">
        <v>225409</v>
      </c>
      <c r="K52" s="478">
        <v>64377</v>
      </c>
      <c r="L52" s="478">
        <v>746439</v>
      </c>
      <c r="M52" s="478">
        <v>417438</v>
      </c>
      <c r="N52" s="478">
        <v>70006</v>
      </c>
      <c r="O52" s="478">
        <v>57096</v>
      </c>
      <c r="P52" s="478">
        <v>670247</v>
      </c>
      <c r="Q52" s="478">
        <v>284344</v>
      </c>
      <c r="R52" s="478">
        <v>146057</v>
      </c>
      <c r="S52" s="478">
        <v>134767</v>
      </c>
      <c r="T52" s="478">
        <v>168019</v>
      </c>
      <c r="U52" s="478">
        <v>237389</v>
      </c>
      <c r="V52" s="478">
        <v>52489</v>
      </c>
      <c r="W52" s="478">
        <v>305175</v>
      </c>
      <c r="X52" s="478">
        <v>388575</v>
      </c>
      <c r="Y52" s="478">
        <v>385123</v>
      </c>
      <c r="Z52" s="478">
        <v>279987</v>
      </c>
      <c r="AA52" s="478">
        <v>97533</v>
      </c>
      <c r="AB52" s="478">
        <v>249546</v>
      </c>
      <c r="AC52" s="478">
        <v>38933</v>
      </c>
      <c r="AD52" s="478">
        <v>96230</v>
      </c>
      <c r="AE52" s="478">
        <v>129421</v>
      </c>
      <c r="AF52" s="478">
        <v>63333</v>
      </c>
      <c r="AG52" s="478">
        <v>493175</v>
      </c>
      <c r="AH52" s="478">
        <v>79555</v>
      </c>
      <c r="AI52" s="478">
        <v>1169436</v>
      </c>
      <c r="AJ52" s="478">
        <v>436144</v>
      </c>
      <c r="AK52" s="478">
        <v>39992</v>
      </c>
      <c r="AL52" s="478">
        <v>490265</v>
      </c>
      <c r="AM52" s="478">
        <v>156058</v>
      </c>
      <c r="AN52" s="478">
        <v>188981</v>
      </c>
      <c r="AO52" s="478">
        <v>581256</v>
      </c>
      <c r="AP52" s="478">
        <v>49423</v>
      </c>
      <c r="AQ52" s="478">
        <v>168716</v>
      </c>
      <c r="AR52" s="478">
        <v>41667</v>
      </c>
      <c r="AS52" s="478">
        <v>263626</v>
      </c>
      <c r="AT52" s="478">
        <v>1321005</v>
      </c>
      <c r="AU52" s="478">
        <v>124454</v>
      </c>
      <c r="AV52" s="478">
        <v>26545</v>
      </c>
      <c r="AW52" s="478">
        <v>433611</v>
      </c>
      <c r="AX52" s="478">
        <v>357056</v>
      </c>
      <c r="AY52" s="478">
        <v>66109</v>
      </c>
      <c r="AZ52" s="478">
        <v>253349</v>
      </c>
      <c r="BA52" s="478">
        <v>38190</v>
      </c>
    </row>
    <row r="53" spans="1:53" x14ac:dyDescent="0.2">
      <c r="A53" s="7" t="s">
        <v>90</v>
      </c>
      <c r="B53" s="7" t="s">
        <v>1005</v>
      </c>
      <c r="C53" s="374">
        <f>C52/1000</f>
        <v>14852.58</v>
      </c>
      <c r="D53" s="384">
        <f t="shared" ref="D53:BA53" si="56">D52/1000</f>
        <v>178.53299999999999</v>
      </c>
      <c r="E53" s="384">
        <f t="shared" si="56"/>
        <v>51.237000000000002</v>
      </c>
      <c r="F53" s="384">
        <f t="shared" si="56"/>
        <v>255.989</v>
      </c>
      <c r="G53" s="384">
        <f t="shared" si="56"/>
        <v>106.557</v>
      </c>
      <c r="H53" s="384">
        <f t="shared" si="56"/>
        <v>1908.9849999999999</v>
      </c>
      <c r="I53" s="384">
        <f t="shared" si="56"/>
        <v>264.733</v>
      </c>
      <c r="J53" s="384">
        <f t="shared" si="56"/>
        <v>225.40899999999999</v>
      </c>
      <c r="K53" s="384">
        <f t="shared" si="56"/>
        <v>64.376999999999995</v>
      </c>
      <c r="L53" s="384">
        <f t="shared" si="56"/>
        <v>746.43899999999996</v>
      </c>
      <c r="M53" s="384">
        <f t="shared" si="56"/>
        <v>417.43799999999999</v>
      </c>
      <c r="N53" s="384">
        <f t="shared" si="56"/>
        <v>70.006</v>
      </c>
      <c r="O53" s="384">
        <f t="shared" si="56"/>
        <v>57.095999999999997</v>
      </c>
      <c r="P53" s="384">
        <f t="shared" si="56"/>
        <v>670.24699999999996</v>
      </c>
      <c r="Q53" s="384">
        <f t="shared" si="56"/>
        <v>284.34399999999999</v>
      </c>
      <c r="R53" s="384">
        <f t="shared" si="56"/>
        <v>146.05699999999999</v>
      </c>
      <c r="S53" s="384">
        <f t="shared" si="56"/>
        <v>134.767</v>
      </c>
      <c r="T53" s="384">
        <f t="shared" si="56"/>
        <v>168.01900000000001</v>
      </c>
      <c r="U53" s="384">
        <f t="shared" si="56"/>
        <v>237.38900000000001</v>
      </c>
      <c r="V53" s="384">
        <f t="shared" si="56"/>
        <v>52.488999999999997</v>
      </c>
      <c r="W53" s="384">
        <f t="shared" si="56"/>
        <v>305.17500000000001</v>
      </c>
      <c r="X53" s="384">
        <f t="shared" si="56"/>
        <v>388.57499999999999</v>
      </c>
      <c r="Y53" s="384">
        <f t="shared" si="56"/>
        <v>385.12299999999999</v>
      </c>
      <c r="Z53" s="384">
        <f t="shared" si="56"/>
        <v>279.98700000000002</v>
      </c>
      <c r="AA53" s="384">
        <f t="shared" si="56"/>
        <v>97.533000000000001</v>
      </c>
      <c r="AB53" s="384">
        <f t="shared" si="56"/>
        <v>249.54599999999999</v>
      </c>
      <c r="AC53" s="384">
        <f t="shared" si="56"/>
        <v>38.933</v>
      </c>
      <c r="AD53" s="384">
        <f t="shared" si="56"/>
        <v>96.23</v>
      </c>
      <c r="AE53" s="384">
        <f t="shared" si="56"/>
        <v>129.42099999999999</v>
      </c>
      <c r="AF53" s="384">
        <f t="shared" si="56"/>
        <v>63.332999999999998</v>
      </c>
      <c r="AG53" s="384">
        <f t="shared" si="56"/>
        <v>493.17500000000001</v>
      </c>
      <c r="AH53" s="384">
        <f t="shared" si="56"/>
        <v>79.555000000000007</v>
      </c>
      <c r="AI53" s="384">
        <f t="shared" si="56"/>
        <v>1169.4359999999999</v>
      </c>
      <c r="AJ53" s="384">
        <f t="shared" si="56"/>
        <v>436.14400000000001</v>
      </c>
      <c r="AK53" s="384">
        <f t="shared" si="56"/>
        <v>39.991999999999997</v>
      </c>
      <c r="AL53" s="384">
        <f t="shared" si="56"/>
        <v>490.26499999999999</v>
      </c>
      <c r="AM53" s="384">
        <f t="shared" si="56"/>
        <v>156.05799999999999</v>
      </c>
      <c r="AN53" s="384">
        <f t="shared" si="56"/>
        <v>188.98099999999999</v>
      </c>
      <c r="AO53" s="384">
        <f t="shared" si="56"/>
        <v>581.25599999999997</v>
      </c>
      <c r="AP53" s="384">
        <f t="shared" si="56"/>
        <v>49.423000000000002</v>
      </c>
      <c r="AQ53" s="384">
        <f t="shared" si="56"/>
        <v>168.71600000000001</v>
      </c>
      <c r="AR53" s="384">
        <f t="shared" si="56"/>
        <v>41.667000000000002</v>
      </c>
      <c r="AS53" s="384">
        <f t="shared" si="56"/>
        <v>263.62599999999998</v>
      </c>
      <c r="AT53" s="384">
        <f t="shared" si="56"/>
        <v>1321.0050000000001</v>
      </c>
      <c r="AU53" s="384">
        <f t="shared" si="56"/>
        <v>124.45399999999999</v>
      </c>
      <c r="AV53" s="384">
        <f t="shared" si="56"/>
        <v>26.545000000000002</v>
      </c>
      <c r="AW53" s="384">
        <f t="shared" si="56"/>
        <v>433.61099999999999</v>
      </c>
      <c r="AX53" s="384">
        <f t="shared" si="56"/>
        <v>357.05599999999998</v>
      </c>
      <c r="AY53" s="384">
        <f t="shared" si="56"/>
        <v>66.108999999999995</v>
      </c>
      <c r="AZ53" s="384">
        <f t="shared" si="56"/>
        <v>253.34899999999999</v>
      </c>
      <c r="BA53" s="384">
        <f t="shared" si="56"/>
        <v>38.19</v>
      </c>
    </row>
    <row r="54" spans="1:53" x14ac:dyDescent="0.2">
      <c r="A54" s="7" t="s">
        <v>1006</v>
      </c>
      <c r="B54" s="7" t="s">
        <v>1007</v>
      </c>
      <c r="C54" s="374">
        <f>C52*1000000/C32</f>
        <v>47762.284161784519</v>
      </c>
      <c r="D54" s="384">
        <f t="shared" ref="D54:BA54" si="57">D52*1000000/D32</f>
        <v>37165.811525267352</v>
      </c>
      <c r="E54" s="384">
        <f t="shared" si="57"/>
        <v>70783.024341723532</v>
      </c>
      <c r="F54" s="384">
        <f t="shared" si="57"/>
        <v>39581.959437571852</v>
      </c>
      <c r="G54" s="384">
        <f t="shared" si="57"/>
        <v>36261.366876949498</v>
      </c>
      <c r="H54" s="384">
        <f t="shared" si="57"/>
        <v>50657.796254971581</v>
      </c>
      <c r="I54" s="384">
        <f t="shared" si="57"/>
        <v>51743.036278937405</v>
      </c>
      <c r="J54" s="384">
        <f t="shared" si="57"/>
        <v>62845.493525137332</v>
      </c>
      <c r="K54" s="384">
        <f t="shared" si="57"/>
        <v>70889.083915752795</v>
      </c>
      <c r="L54" s="384">
        <f t="shared" si="57"/>
        <v>39116.903436290726</v>
      </c>
      <c r="M54" s="384">
        <f t="shared" si="57"/>
        <v>42541.625647391171</v>
      </c>
      <c r="N54" s="384">
        <f t="shared" si="57"/>
        <v>50797.857094655148</v>
      </c>
      <c r="O54" s="384">
        <f t="shared" si="57"/>
        <v>36051.281015113556</v>
      </c>
      <c r="P54" s="384">
        <f t="shared" si="57"/>
        <v>52119.74538855804</v>
      </c>
      <c r="Q54" s="384">
        <f t="shared" si="57"/>
        <v>43635.4506884449</v>
      </c>
      <c r="R54" s="384">
        <f t="shared" si="57"/>
        <v>47667.224634207079</v>
      </c>
      <c r="S54" s="384">
        <f t="shared" si="57"/>
        <v>46950.828216135393</v>
      </c>
      <c r="T54" s="384">
        <f t="shared" si="57"/>
        <v>38476.335378607837</v>
      </c>
      <c r="U54" s="384">
        <f t="shared" si="57"/>
        <v>51890.960105937658</v>
      </c>
      <c r="V54" s="384">
        <f t="shared" si="57"/>
        <v>39508.665125129468</v>
      </c>
      <c r="W54" s="384">
        <f t="shared" si="57"/>
        <v>52259.823151422745</v>
      </c>
      <c r="X54" s="384">
        <f t="shared" si="57"/>
        <v>58812.596270956739</v>
      </c>
      <c r="Y54" s="384">
        <f t="shared" si="57"/>
        <v>38992.685992154744</v>
      </c>
      <c r="Z54" s="384">
        <f t="shared" si="57"/>
        <v>52360.453380295359</v>
      </c>
      <c r="AA54" s="384">
        <f t="shared" si="57"/>
        <v>32757.14813009894</v>
      </c>
      <c r="AB54" s="384">
        <f t="shared" si="57"/>
        <v>41528.817517237519</v>
      </c>
      <c r="AC54" s="384">
        <f t="shared" si="57"/>
        <v>39024.043092534885</v>
      </c>
      <c r="AD54" s="384">
        <f t="shared" si="57"/>
        <v>52235.492342449441</v>
      </c>
      <c r="AE54" s="384">
        <f t="shared" si="57"/>
        <v>47580.760198056785</v>
      </c>
      <c r="AF54" s="384">
        <f t="shared" si="57"/>
        <v>48059.389576774141</v>
      </c>
      <c r="AG54" s="384">
        <f t="shared" si="57"/>
        <v>55822.03413715327</v>
      </c>
      <c r="AH54" s="384">
        <f t="shared" si="57"/>
        <v>38271.994550372016</v>
      </c>
      <c r="AI54" s="384">
        <f t="shared" si="57"/>
        <v>59966.107424123213</v>
      </c>
      <c r="AJ54" s="384">
        <f t="shared" si="57"/>
        <v>45191.104063442282</v>
      </c>
      <c r="AK54" s="384">
        <f t="shared" si="57"/>
        <v>58404.649940123258</v>
      </c>
      <c r="AL54" s="384">
        <f t="shared" si="57"/>
        <v>42480.261904355488</v>
      </c>
      <c r="AM54" s="384">
        <f t="shared" si="57"/>
        <v>41239.766891648163</v>
      </c>
      <c r="AN54" s="384">
        <f t="shared" si="57"/>
        <v>48854.656743434789</v>
      </c>
      <c r="AO54" s="384">
        <f t="shared" si="57"/>
        <v>45610.355597810034</v>
      </c>
      <c r="AP54" s="384">
        <f t="shared" si="57"/>
        <v>47040.582651054683</v>
      </c>
      <c r="AQ54" s="384">
        <f t="shared" si="57"/>
        <v>36101.741192823647</v>
      </c>
      <c r="AR54" s="384">
        <f t="shared" si="57"/>
        <v>50591.736452349644</v>
      </c>
      <c r="AS54" s="384">
        <f t="shared" si="57"/>
        <v>41192.933452316458</v>
      </c>
      <c r="AT54" s="384">
        <f t="shared" si="57"/>
        <v>51537.782513565777</v>
      </c>
      <c r="AU54" s="384">
        <f t="shared" si="57"/>
        <v>44221.270511418814</v>
      </c>
      <c r="AV54" s="384">
        <f t="shared" si="57"/>
        <v>42364.090189469382</v>
      </c>
      <c r="AW54" s="384">
        <f t="shared" si="57"/>
        <v>53503.264406030117</v>
      </c>
      <c r="AX54" s="384">
        <f t="shared" si="57"/>
        <v>52329.184831840816</v>
      </c>
      <c r="AY54" s="384">
        <f t="shared" si="57"/>
        <v>35640.042525020108</v>
      </c>
      <c r="AZ54" s="384">
        <f t="shared" si="57"/>
        <v>44370.572010473843</v>
      </c>
      <c r="BA54" s="384">
        <f t="shared" si="57"/>
        <v>67312.234293811998</v>
      </c>
    </row>
    <row r="60" spans="1:53" x14ac:dyDescent="0.2">
      <c r="B60" s="373" t="s">
        <v>113</v>
      </c>
      <c r="C60" s="373" t="s">
        <v>111</v>
      </c>
      <c r="D60" s="18" t="s">
        <v>112</v>
      </c>
    </row>
    <row r="61" spans="1:53" x14ac:dyDescent="0.2">
      <c r="A61" s="471" t="s">
        <v>105</v>
      </c>
      <c r="B61" s="472">
        <f t="shared" ref="B61:B85" si="58">$C$4-C5</f>
        <v>-5310.3500488931204</v>
      </c>
      <c r="C61" s="473">
        <f>B61/$C$4</f>
        <v>-0.98736573077046308</v>
      </c>
      <c r="D61" s="474" t="str">
        <f>IF(C61&gt;0.98,"yes","no")</f>
        <v>no</v>
      </c>
    </row>
    <row r="62" spans="1:53" x14ac:dyDescent="0.2">
      <c r="A62" s="475" t="s">
        <v>1018</v>
      </c>
      <c r="B62" s="472">
        <f t="shared" si="58"/>
        <v>2926.3436769114469</v>
      </c>
      <c r="C62" s="473">
        <f t="shared" ref="C62:C85" si="59">B62/$C$4</f>
        <v>0.54410188338553123</v>
      </c>
      <c r="D62" s="474" t="str">
        <f t="shared" ref="D62:D85" si="60">IF(C62&gt;0.98,"yes","no")</f>
        <v>no</v>
      </c>
    </row>
    <row r="63" spans="1:53" x14ac:dyDescent="0.2">
      <c r="A63" s="475" t="s">
        <v>1019</v>
      </c>
      <c r="B63" s="472">
        <f t="shared" si="58"/>
        <v>3438.3544791815884</v>
      </c>
      <c r="C63" s="473">
        <f t="shared" si="59"/>
        <v>0.63930124223970008</v>
      </c>
      <c r="D63" s="474" t="str">
        <f t="shared" si="60"/>
        <v>no</v>
      </c>
    </row>
    <row r="64" spans="1:53" x14ac:dyDescent="0.2">
      <c r="A64" s="475" t="s">
        <v>106</v>
      </c>
      <c r="B64" s="472">
        <f t="shared" si="58"/>
        <v>4253.3555314713085</v>
      </c>
      <c r="C64" s="473">
        <f t="shared" si="59"/>
        <v>0.79083628271042516</v>
      </c>
      <c r="D64" s="474" t="str">
        <f t="shared" si="60"/>
        <v>no</v>
      </c>
    </row>
    <row r="65" spans="1:4" x14ac:dyDescent="0.2">
      <c r="A65" s="475" t="s">
        <v>107</v>
      </c>
      <c r="B65" s="472">
        <f t="shared" si="58"/>
        <v>4945.1790146585863</v>
      </c>
      <c r="C65" s="473">
        <f t="shared" si="59"/>
        <v>0.91946863137899437</v>
      </c>
      <c r="D65" s="474" t="str">
        <f t="shared" si="60"/>
        <v>no</v>
      </c>
    </row>
    <row r="66" spans="1:4" x14ac:dyDescent="0.2">
      <c r="A66" s="475" t="s">
        <v>108</v>
      </c>
      <c r="B66" s="472">
        <f t="shared" si="58"/>
        <v>5120.7009511068791</v>
      </c>
      <c r="C66" s="473">
        <f t="shared" si="59"/>
        <v>0.95210383309863222</v>
      </c>
      <c r="D66" s="474" t="str">
        <f t="shared" si="60"/>
        <v>no</v>
      </c>
    </row>
    <row r="67" spans="1:4" x14ac:dyDescent="0.2">
      <c r="A67" s="7" t="s">
        <v>109</v>
      </c>
      <c r="B67" s="469">
        <f t="shared" si="58"/>
        <v>5333.7945263430556</v>
      </c>
      <c r="C67" s="470">
        <f t="shared" si="59"/>
        <v>0.99172481696944381</v>
      </c>
      <c r="D67" s="373" t="str">
        <f t="shared" si="60"/>
        <v>yes</v>
      </c>
    </row>
    <row r="68" spans="1:4" x14ac:dyDescent="0.2">
      <c r="A68" s="7" t="s">
        <v>115</v>
      </c>
      <c r="B68" s="469">
        <f t="shared" si="58"/>
        <v>5363.5224462280303</v>
      </c>
      <c r="C68" s="470">
        <f t="shared" si="59"/>
        <v>0.99725219822892064</v>
      </c>
      <c r="D68" s="373" t="str">
        <f t="shared" si="60"/>
        <v>yes</v>
      </c>
    </row>
    <row r="69" spans="1:4" x14ac:dyDescent="0.2">
      <c r="A69" s="7" t="s">
        <v>116</v>
      </c>
      <c r="B69" s="469">
        <f t="shared" si="58"/>
        <v>5346.7390253672347</v>
      </c>
      <c r="C69" s="470">
        <f t="shared" si="59"/>
        <v>0.99413161776803338</v>
      </c>
      <c r="D69" s="373" t="str">
        <f t="shared" si="60"/>
        <v>yes</v>
      </c>
    </row>
    <row r="70" spans="1:4" x14ac:dyDescent="0.2">
      <c r="A70" s="7" t="s">
        <v>117</v>
      </c>
      <c r="B70" s="469">
        <f t="shared" si="58"/>
        <v>5381.5455510675065</v>
      </c>
      <c r="C70" s="470">
        <f t="shared" si="59"/>
        <v>1.0006032760141397</v>
      </c>
      <c r="D70" s="373" t="str">
        <f t="shared" si="60"/>
        <v>yes</v>
      </c>
    </row>
    <row r="71" spans="1:4" x14ac:dyDescent="0.2">
      <c r="A71" s="475" t="s">
        <v>118</v>
      </c>
      <c r="B71" s="472">
        <f t="shared" si="58"/>
        <v>5139.236210795586</v>
      </c>
      <c r="C71" s="473">
        <f t="shared" si="59"/>
        <v>0.95555013702569158</v>
      </c>
      <c r="D71" s="474" t="str">
        <f t="shared" si="60"/>
        <v>no</v>
      </c>
    </row>
    <row r="72" spans="1:4" x14ac:dyDescent="0.2">
      <c r="A72" s="7" t="s">
        <v>119</v>
      </c>
      <c r="B72" s="469">
        <f t="shared" si="58"/>
        <v>5309.0695519251058</v>
      </c>
      <c r="C72" s="470">
        <f t="shared" si="59"/>
        <v>0.98712764499213723</v>
      </c>
      <c r="D72" s="373" t="str">
        <f t="shared" si="60"/>
        <v>yes</v>
      </c>
    </row>
    <row r="73" spans="1:4" x14ac:dyDescent="0.2">
      <c r="A73" s="475" t="s">
        <v>120</v>
      </c>
      <c r="B73" s="472">
        <f t="shared" si="58"/>
        <v>4602.0190384388379</v>
      </c>
      <c r="C73" s="473">
        <f t="shared" si="59"/>
        <v>0.85566409917833264</v>
      </c>
      <c r="D73" s="474" t="str">
        <f t="shared" si="60"/>
        <v>no</v>
      </c>
    </row>
    <row r="74" spans="1:4" x14ac:dyDescent="0.2">
      <c r="A74" s="475" t="s">
        <v>121</v>
      </c>
      <c r="B74" s="472">
        <f t="shared" si="58"/>
        <v>4750.9157511068797</v>
      </c>
      <c r="C74" s="473">
        <f t="shared" si="59"/>
        <v>0.88334881113878894</v>
      </c>
      <c r="D74" s="474" t="str">
        <f t="shared" si="60"/>
        <v>no</v>
      </c>
    </row>
    <row r="75" spans="1:4" x14ac:dyDescent="0.2">
      <c r="A75" s="475" t="s">
        <v>122</v>
      </c>
      <c r="B75" s="472">
        <f t="shared" si="58"/>
        <v>2837.0714422440424</v>
      </c>
      <c r="C75" s="473">
        <f t="shared" si="59"/>
        <v>0.52750328924233214</v>
      </c>
      <c r="D75" s="474" t="str">
        <f t="shared" si="60"/>
        <v>no</v>
      </c>
    </row>
    <row r="76" spans="1:4" x14ac:dyDescent="0.2">
      <c r="A76" s="475" t="s">
        <v>1020</v>
      </c>
      <c r="B76" s="472">
        <f t="shared" si="58"/>
        <v>3243.7426378020632</v>
      </c>
      <c r="C76" s="473">
        <f t="shared" si="59"/>
        <v>0.60311661011355</v>
      </c>
      <c r="D76" s="474" t="str">
        <f t="shared" si="60"/>
        <v>no</v>
      </c>
    </row>
    <row r="77" spans="1:4" x14ac:dyDescent="0.2">
      <c r="A77" s="7" t="s">
        <v>123</v>
      </c>
      <c r="B77" s="469">
        <f t="shared" si="58"/>
        <v>5310.9476329979379</v>
      </c>
      <c r="C77" s="470">
        <f t="shared" si="59"/>
        <v>0.98747684097241162</v>
      </c>
      <c r="D77" s="373" t="str">
        <f t="shared" si="60"/>
        <v>yes</v>
      </c>
    </row>
    <row r="78" spans="1:4" x14ac:dyDescent="0.2">
      <c r="A78" s="7" t="s">
        <v>124</v>
      </c>
      <c r="B78" s="469">
        <f t="shared" si="58"/>
        <v>5300.6207717724956</v>
      </c>
      <c r="C78" s="470">
        <f t="shared" si="59"/>
        <v>0.98555674365555967</v>
      </c>
      <c r="D78" s="373" t="str">
        <f t="shared" si="60"/>
        <v>yes</v>
      </c>
    </row>
    <row r="79" spans="1:4" x14ac:dyDescent="0.2">
      <c r="A79" s="7" t="s">
        <v>125</v>
      </c>
      <c r="B79" s="469">
        <f t="shared" si="58"/>
        <v>5304.0332372703324</v>
      </c>
      <c r="C79" s="470">
        <f t="shared" si="59"/>
        <v>0.98619123129930797</v>
      </c>
      <c r="D79" s="373" t="str">
        <f t="shared" si="60"/>
        <v>yes</v>
      </c>
    </row>
    <row r="80" spans="1:4" x14ac:dyDescent="0.2">
      <c r="A80" s="475" t="s">
        <v>1021</v>
      </c>
      <c r="B80" s="472">
        <f t="shared" si="58"/>
        <v>5201.343750033865</v>
      </c>
      <c r="C80" s="473">
        <f t="shared" si="59"/>
        <v>0.96709793619180129</v>
      </c>
      <c r="D80" s="474" t="str">
        <f t="shared" si="60"/>
        <v>no</v>
      </c>
    </row>
    <row r="81" spans="1:4" x14ac:dyDescent="0.2">
      <c r="A81" s="475" t="s">
        <v>126</v>
      </c>
      <c r="B81" s="472">
        <f t="shared" si="58"/>
        <v>4689.2111922222211</v>
      </c>
      <c r="C81" s="473">
        <f t="shared" si="59"/>
        <v>0.87187593904672811</v>
      </c>
      <c r="D81" s="474" t="str">
        <f t="shared" si="60"/>
        <v>no</v>
      </c>
    </row>
    <row r="82" spans="1:4" x14ac:dyDescent="0.2">
      <c r="A82" s="475" t="s">
        <v>1022</v>
      </c>
      <c r="B82" s="472">
        <f t="shared" si="58"/>
        <v>4152.3418384573097</v>
      </c>
      <c r="C82" s="473">
        <f t="shared" si="59"/>
        <v>0.77205457191880245</v>
      </c>
      <c r="D82" s="474" t="str">
        <f t="shared" si="60"/>
        <v>no</v>
      </c>
    </row>
    <row r="83" spans="1:4" x14ac:dyDescent="0.2">
      <c r="A83" s="475" t="s">
        <v>1023</v>
      </c>
      <c r="B83" s="472">
        <f t="shared" si="58"/>
        <v>5143.6072361348506</v>
      </c>
      <c r="C83" s="473">
        <f t="shared" si="59"/>
        <v>0.95636285192933879</v>
      </c>
      <c r="D83" s="474" t="str">
        <f t="shared" si="60"/>
        <v>no</v>
      </c>
    </row>
    <row r="84" spans="1:4" x14ac:dyDescent="0.2">
      <c r="A84" s="475" t="s">
        <v>127</v>
      </c>
      <c r="B84" s="472">
        <f t="shared" si="58"/>
        <v>4968.0703351785005</v>
      </c>
      <c r="C84" s="473">
        <f t="shared" si="59"/>
        <v>0.92372486782392649</v>
      </c>
      <c r="D84" s="474" t="str">
        <f t="shared" si="60"/>
        <v>no</v>
      </c>
    </row>
    <row r="85" spans="1:4" x14ac:dyDescent="0.2">
      <c r="A85" s="475" t="s">
        <v>128</v>
      </c>
      <c r="B85" s="472">
        <f t="shared" si="58"/>
        <v>3767.6773211068794</v>
      </c>
      <c r="C85" s="473">
        <f t="shared" si="59"/>
        <v>0.70053300389065687</v>
      </c>
      <c r="D85" s="474" t="str">
        <f t="shared" si="60"/>
        <v>no</v>
      </c>
    </row>
  </sheetData>
  <phoneticPr fontId="103" type="noConversion"/>
  <dataValidations disablePrompts="1" count="1">
    <dataValidation type="list" allowBlank="1" showInputMessage="1" showErrorMessage="1" sqref="B44">
      <formula1>$C$44:$E$44</formula1>
    </dataValidation>
  </dataValidations>
  <pageMargins left="0.75" right="0.75" top="1" bottom="1" header="0.5" footer="0.5"/>
  <pageSetup orientation="portrait" horizontalDpi="4294967292" verticalDpi="429496729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85"/>
  <sheetViews>
    <sheetView workbookViewId="0">
      <selection activeCell="C6" sqref="C6"/>
    </sheetView>
  </sheetViews>
  <sheetFormatPr baseColWidth="10" defaultColWidth="8.83203125" defaultRowHeight="16" x14ac:dyDescent="0.2"/>
  <cols>
    <col min="2" max="2" width="51" customWidth="1"/>
    <col min="3" max="3" width="18.1640625" customWidth="1"/>
    <col min="4" max="53" width="15.33203125" customWidth="1"/>
  </cols>
  <sheetData>
    <row r="1" spans="1:55" x14ac:dyDescent="0.2">
      <c r="A1" s="3"/>
      <c r="B1" s="3" t="s">
        <v>335</v>
      </c>
      <c r="C1" s="6"/>
      <c r="D1" s="3">
        <v>1</v>
      </c>
      <c r="E1" s="3">
        <f>D1+1</f>
        <v>2</v>
      </c>
      <c r="F1" s="3">
        <f t="shared" ref="F1:K1" si="0">E1+1</f>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B1" s="3"/>
      <c r="BC1" s="2"/>
    </row>
    <row r="2" spans="1:55" x14ac:dyDescent="0.2">
      <c r="A2" s="3"/>
      <c r="B2" s="3"/>
      <c r="C2" s="6"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c r="BB2" s="3"/>
      <c r="BC2" s="3"/>
    </row>
    <row r="3" spans="1:55" x14ac:dyDescent="0.2">
      <c r="A3" s="3"/>
      <c r="B3" s="489" t="e">
        <f>SUM(D7:BA7)-#REF!</f>
        <v>#REF!</v>
      </c>
      <c r="C3" s="6"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c r="BB3" s="3"/>
      <c r="BC3" s="2"/>
    </row>
    <row r="4" spans="1:55" x14ac:dyDescent="0.2">
      <c r="A4" s="65">
        <v>1</v>
      </c>
      <c r="B4" s="258" t="s">
        <v>336</v>
      </c>
      <c r="C4" s="244">
        <f>C11*C9/1000000000</f>
        <v>433.12193644829352</v>
      </c>
      <c r="D4" s="244">
        <f>D11*D9/1000000000</f>
        <v>5.4289516555983539</v>
      </c>
      <c r="E4" s="244">
        <f t="shared" ref="E4:BA4" si="43">E11*E9/1000000000</f>
        <v>0.99277686581796298</v>
      </c>
      <c r="F4" s="244">
        <f t="shared" si="43"/>
        <v>9.3608064982400307</v>
      </c>
      <c r="G4" s="244">
        <f t="shared" si="43"/>
        <v>2.7090422587237462</v>
      </c>
      <c r="H4" s="244">
        <f t="shared" si="43"/>
        <v>78.801597279160433</v>
      </c>
      <c r="I4" s="244">
        <f t="shared" si="43"/>
        <v>7.6385502575024233</v>
      </c>
      <c r="J4" s="244">
        <f t="shared" si="43"/>
        <v>6.0609471292358883</v>
      </c>
      <c r="K4" s="244">
        <f t="shared" si="43"/>
        <v>1.0708478967476796</v>
      </c>
      <c r="L4" s="244">
        <f t="shared" si="43"/>
        <v>25.966201464425399</v>
      </c>
      <c r="M4" s="244">
        <f t="shared" si="43"/>
        <v>13.509350130122506</v>
      </c>
      <c r="N4" s="244">
        <f t="shared" si="43"/>
        <v>1.7269874368095421</v>
      </c>
      <c r="O4" s="244">
        <f t="shared" si="43"/>
        <v>1.8556155763951383</v>
      </c>
      <c r="P4" s="244">
        <f t="shared" si="43"/>
        <v>20.326001352439587</v>
      </c>
      <c r="Q4" s="244">
        <f t="shared" si="43"/>
        <v>7.7184193905347946</v>
      </c>
      <c r="R4" s="244">
        <f t="shared" si="43"/>
        <v>2.8546633307277314</v>
      </c>
      <c r="S4" s="244">
        <f t="shared" si="43"/>
        <v>2.8324529882664193</v>
      </c>
      <c r="T4" s="244">
        <f t="shared" si="43"/>
        <v>4.8877342596642066</v>
      </c>
      <c r="U4" s="244">
        <f t="shared" si="43"/>
        <v>4.1941894941571141</v>
      </c>
      <c r="V4" s="244">
        <f t="shared" si="43"/>
        <v>1.6717934991468713</v>
      </c>
      <c r="W4" s="244">
        <f t="shared" si="43"/>
        <v>7.9047066143606308</v>
      </c>
      <c r="X4" s="244">
        <f t="shared" si="43"/>
        <v>10.59771642951964</v>
      </c>
      <c r="Y4" s="244">
        <f t="shared" si="43"/>
        <v>15.017819331783487</v>
      </c>
      <c r="Z4" s="244">
        <f t="shared" si="43"/>
        <v>6.8477975593596945</v>
      </c>
      <c r="AA4" s="244">
        <f t="shared" si="43"/>
        <v>2.9617118560325562</v>
      </c>
      <c r="AB4" s="244">
        <f t="shared" si="43"/>
        <v>6.8719468540009077</v>
      </c>
      <c r="AC4" s="244">
        <f t="shared" si="43"/>
        <v>1.0998128887587044</v>
      </c>
      <c r="AD4" s="244">
        <f t="shared" si="43"/>
        <v>1.3668772434610135</v>
      </c>
      <c r="AE4" s="244">
        <f t="shared" si="43"/>
        <v>5.1681748516200487</v>
      </c>
      <c r="AF4" s="244">
        <f t="shared" si="43"/>
        <v>1.4740090720861168</v>
      </c>
      <c r="AG4" s="244">
        <f t="shared" si="43"/>
        <v>14.610935167958809</v>
      </c>
      <c r="AH4" s="244">
        <f t="shared" si="43"/>
        <v>2.1640871977584282</v>
      </c>
      <c r="AI4" s="244">
        <f t="shared" si="43"/>
        <v>28.147352962142776</v>
      </c>
      <c r="AJ4" s="244">
        <f t="shared" si="43"/>
        <v>13.43854101792536</v>
      </c>
      <c r="AK4" s="244">
        <f t="shared" si="43"/>
        <v>0.38550705359819853</v>
      </c>
      <c r="AL4" s="244">
        <f t="shared" si="43"/>
        <v>13.824253755090972</v>
      </c>
      <c r="AM4" s="244">
        <f t="shared" si="43"/>
        <v>2.8365504430321007</v>
      </c>
      <c r="AN4" s="244">
        <f t="shared" si="43"/>
        <v>5.9562912651197104</v>
      </c>
      <c r="AO4" s="244">
        <f t="shared" si="43"/>
        <v>15.306970281163078</v>
      </c>
      <c r="AP4" s="244">
        <f t="shared" si="43"/>
        <v>1.9369205205197078</v>
      </c>
      <c r="AQ4" s="244">
        <f t="shared" si="43"/>
        <v>5.974629412748679</v>
      </c>
      <c r="AR4" s="244">
        <f t="shared" si="43"/>
        <v>0.57093356286096464</v>
      </c>
      <c r="AS4" s="244">
        <f t="shared" si="43"/>
        <v>7.3889705507434398</v>
      </c>
      <c r="AT4" s="244">
        <f t="shared" si="43"/>
        <v>29.447426562589666</v>
      </c>
      <c r="AU4" s="244">
        <f t="shared" si="43"/>
        <v>2.8790397157629615</v>
      </c>
      <c r="AV4" s="244">
        <f t="shared" si="43"/>
        <v>0.69939955063298298</v>
      </c>
      <c r="AW4" s="244">
        <f t="shared" si="43"/>
        <v>9.4795090914973184</v>
      </c>
      <c r="AX4" s="244">
        <f t="shared" si="43"/>
        <v>12.142088264996397</v>
      </c>
      <c r="AY4" s="244">
        <f t="shared" si="43"/>
        <v>1.5626250385247717</v>
      </c>
      <c r="AZ4" s="244">
        <f t="shared" si="43"/>
        <v>7.0511527943668222</v>
      </c>
      <c r="BA4" s="244">
        <f t="shared" si="43"/>
        <v>0.53364643878974527</v>
      </c>
    </row>
    <row r="5" spans="1:55" x14ac:dyDescent="0.2">
      <c r="A5" s="65">
        <v>2</v>
      </c>
      <c r="B5" s="249" t="s">
        <v>337</v>
      </c>
      <c r="C5" s="251">
        <v>8.9</v>
      </c>
      <c r="D5" s="251">
        <v>8.5</v>
      </c>
      <c r="E5" s="251">
        <v>7.6</v>
      </c>
      <c r="F5" s="251">
        <v>9.4</v>
      </c>
      <c r="G5" s="251">
        <v>8</v>
      </c>
      <c r="H5" s="251">
        <v>11.8</v>
      </c>
      <c r="I5" s="251">
        <v>8.5</v>
      </c>
      <c r="J5" s="251">
        <v>8.9</v>
      </c>
      <c r="K5" s="251">
        <v>7.4</v>
      </c>
      <c r="L5" s="251">
        <v>10.3</v>
      </c>
      <c r="M5" s="251">
        <v>9.9</v>
      </c>
      <c r="N5" s="251">
        <v>6.5</v>
      </c>
      <c r="O5" s="251">
        <v>8.4</v>
      </c>
      <c r="P5" s="251">
        <v>9.6999999999999993</v>
      </c>
      <c r="Q5" s="251">
        <v>8.8000000000000007</v>
      </c>
      <c r="R5" s="251">
        <v>5.8</v>
      </c>
      <c r="S5" s="251">
        <v>6.5</v>
      </c>
      <c r="T5" s="251">
        <v>9.5</v>
      </c>
      <c r="U5" s="251">
        <v>7.2</v>
      </c>
      <c r="V5" s="251">
        <v>7.7</v>
      </c>
      <c r="W5" s="251">
        <v>7.3</v>
      </c>
      <c r="X5" s="251">
        <v>7.3</v>
      </c>
      <c r="Y5" s="251">
        <v>10.4</v>
      </c>
      <c r="Z5" s="251">
        <v>6.5</v>
      </c>
      <c r="AA5" s="251">
        <v>10.6</v>
      </c>
      <c r="AB5" s="251">
        <v>8.5</v>
      </c>
      <c r="AC5" s="251">
        <v>6.5</v>
      </c>
      <c r="AD5" s="251">
        <v>4.5</v>
      </c>
      <c r="AE5" s="251">
        <v>13.2</v>
      </c>
      <c r="AF5" s="251">
        <v>5.5</v>
      </c>
      <c r="AG5" s="251">
        <v>9.3000000000000007</v>
      </c>
      <c r="AH5" s="251">
        <v>7.6</v>
      </c>
      <c r="AI5" s="251">
        <v>8.1999999999999993</v>
      </c>
      <c r="AJ5" s="251">
        <v>10.199999999999999</v>
      </c>
      <c r="AK5" s="251">
        <v>3.4</v>
      </c>
      <c r="AL5" s="251">
        <v>8.6999999999999993</v>
      </c>
      <c r="AM5" s="251">
        <v>5.9</v>
      </c>
      <c r="AN5" s="251">
        <v>9.6999999999999993</v>
      </c>
      <c r="AO5" s="251">
        <v>8</v>
      </c>
      <c r="AP5" s="251">
        <v>11.2</v>
      </c>
      <c r="AQ5" s="251">
        <v>10.3</v>
      </c>
      <c r="AR5" s="251">
        <v>4.7</v>
      </c>
      <c r="AS5" s="251">
        <v>9.3000000000000007</v>
      </c>
      <c r="AT5" s="251">
        <v>7.9</v>
      </c>
      <c r="AU5" s="251">
        <v>6.8</v>
      </c>
      <c r="AV5" s="251">
        <v>5.6</v>
      </c>
      <c r="AW5" s="251">
        <v>6.4</v>
      </c>
      <c r="AX5" s="251">
        <v>9.1999999999999993</v>
      </c>
      <c r="AY5" s="251">
        <v>7.8</v>
      </c>
      <c r="AZ5" s="251">
        <v>7.5</v>
      </c>
      <c r="BA5" s="251">
        <v>6.1</v>
      </c>
    </row>
    <row r="6" spans="1:55" x14ac:dyDescent="0.2">
      <c r="A6" s="65">
        <v>3</v>
      </c>
      <c r="B6" s="387" t="s">
        <v>338</v>
      </c>
      <c r="C6" s="247">
        <v>15.9</v>
      </c>
      <c r="D6" s="247">
        <v>16.2</v>
      </c>
      <c r="E6" s="247">
        <v>13.5</v>
      </c>
      <c r="F6" s="247">
        <v>18</v>
      </c>
      <c r="G6" s="247">
        <v>14.1</v>
      </c>
      <c r="H6" s="247">
        <v>21.1</v>
      </c>
      <c r="I6" s="247">
        <v>15.1</v>
      </c>
      <c r="J6" s="247">
        <v>15.4</v>
      </c>
      <c r="K6" s="247">
        <v>13.2</v>
      </c>
      <c r="L6" s="247">
        <v>17.600000000000001</v>
      </c>
      <c r="M6" s="247">
        <v>17.100000000000001</v>
      </c>
      <c r="N6" s="247">
        <v>15.1</v>
      </c>
      <c r="O6" s="247">
        <v>16.100000000000001</v>
      </c>
      <c r="P6" s="247">
        <v>17</v>
      </c>
      <c r="Q6" s="247">
        <v>15.7</v>
      </c>
      <c r="R6" s="247">
        <v>11.3</v>
      </c>
      <c r="S6" s="247">
        <v>12.1</v>
      </c>
      <c r="T6" s="247">
        <v>15.6</v>
      </c>
      <c r="U6" s="247">
        <v>13.4</v>
      </c>
      <c r="V6" s="247">
        <v>15.1</v>
      </c>
      <c r="W6" s="247">
        <v>12.6</v>
      </c>
      <c r="X6" s="247">
        <v>14.3</v>
      </c>
      <c r="Y6" s="247">
        <v>18.8</v>
      </c>
      <c r="Z6" s="247">
        <v>12.8</v>
      </c>
      <c r="AA6" s="247">
        <v>16.399999999999999</v>
      </c>
      <c r="AB6" s="247">
        <v>14.4</v>
      </c>
      <c r="AC6" s="247">
        <v>15.3</v>
      </c>
      <c r="AD6" s="247">
        <v>8.9</v>
      </c>
      <c r="AE6" s="247">
        <v>22.7</v>
      </c>
      <c r="AF6" s="247">
        <v>11.3</v>
      </c>
      <c r="AG6" s="247">
        <v>16</v>
      </c>
      <c r="AH6" s="247">
        <v>14.7</v>
      </c>
      <c r="AI6" s="247">
        <v>14.3</v>
      </c>
      <c r="AJ6" s="247">
        <v>17.899999999999999</v>
      </c>
      <c r="AK6" s="247">
        <v>6.6</v>
      </c>
      <c r="AL6" s="247">
        <v>14.7</v>
      </c>
      <c r="AM6" s="247">
        <v>10.7</v>
      </c>
      <c r="AN6" s="247">
        <v>17.5</v>
      </c>
      <c r="AO6" s="247">
        <v>13.9</v>
      </c>
      <c r="AP6" s="247">
        <v>18.600000000000001</v>
      </c>
      <c r="AQ6" s="247">
        <v>18.2</v>
      </c>
      <c r="AR6" s="247">
        <v>9.3000000000000007</v>
      </c>
      <c r="AS6" s="247">
        <v>15.5</v>
      </c>
      <c r="AT6" s="247">
        <v>14</v>
      </c>
      <c r="AU6" s="247">
        <v>13.3</v>
      </c>
      <c r="AV6" s="247">
        <v>11.6</v>
      </c>
      <c r="AW6" s="247">
        <v>11.8</v>
      </c>
      <c r="AX6" s="247">
        <v>17.8</v>
      </c>
      <c r="AY6" s="247">
        <v>13.7</v>
      </c>
      <c r="AZ6" s="247">
        <v>14.2</v>
      </c>
      <c r="BA6" s="247">
        <v>10.6</v>
      </c>
    </row>
    <row r="7" spans="1:55" x14ac:dyDescent="0.2">
      <c r="A7" s="65">
        <v>4</v>
      </c>
      <c r="B7" s="388" t="s">
        <v>339</v>
      </c>
      <c r="C7" s="490">
        <f>SUM(D7:BA7)</f>
        <v>154178793</v>
      </c>
      <c r="D7" s="242">
        <v>2189650</v>
      </c>
      <c r="E7" s="242">
        <v>364914</v>
      </c>
      <c r="F7" s="242">
        <v>3048567</v>
      </c>
      <c r="G7" s="242">
        <v>1353474</v>
      </c>
      <c r="H7" s="242">
        <v>18417883</v>
      </c>
      <c r="I7" s="242">
        <v>2725757</v>
      </c>
      <c r="J7" s="242">
        <v>1907117</v>
      </c>
      <c r="K7" s="242">
        <v>437956</v>
      </c>
      <c r="L7" s="242">
        <v>9268433</v>
      </c>
      <c r="M7" s="242">
        <v>4748636</v>
      </c>
      <c r="N7" s="242">
        <v>656471</v>
      </c>
      <c r="O7" s="242">
        <v>765974</v>
      </c>
      <c r="P7" s="242">
        <v>6575390</v>
      </c>
      <c r="Q7" s="242">
        <v>3170125</v>
      </c>
      <c r="R7" s="242">
        <v>1665939</v>
      </c>
      <c r="S7" s="242">
        <v>1497028</v>
      </c>
      <c r="T7" s="242">
        <v>2075793</v>
      </c>
      <c r="U7" s="242">
        <v>2066206</v>
      </c>
      <c r="V7" s="242">
        <v>705222</v>
      </c>
      <c r="W7" s="242">
        <v>3096855</v>
      </c>
      <c r="X7" s="242">
        <v>3465849</v>
      </c>
      <c r="Y7" s="242">
        <v>4679568</v>
      </c>
      <c r="Z7" s="242">
        <v>2967614</v>
      </c>
      <c r="AA7" s="242">
        <v>1329635</v>
      </c>
      <c r="AB7" s="242">
        <v>3016480</v>
      </c>
      <c r="AC7" s="242">
        <v>499512</v>
      </c>
      <c r="AD7" s="242">
        <v>1004516</v>
      </c>
      <c r="AE7" s="242">
        <v>1392356</v>
      </c>
      <c r="AF7" s="242">
        <v>738464</v>
      </c>
      <c r="AG7" s="242">
        <v>4535778</v>
      </c>
      <c r="AH7" s="242">
        <v>923936</v>
      </c>
      <c r="AI7" s="242">
        <v>9541651</v>
      </c>
      <c r="AJ7" s="242">
        <v>4659221</v>
      </c>
      <c r="AK7" s="242">
        <v>384691</v>
      </c>
      <c r="AL7" s="242">
        <v>5788601</v>
      </c>
      <c r="AM7" s="242">
        <v>1777032</v>
      </c>
      <c r="AN7" s="242">
        <v>1967299</v>
      </c>
      <c r="AO7" s="242">
        <v>6396900</v>
      </c>
      <c r="AP7" s="242">
        <v>562536</v>
      </c>
      <c r="AQ7" s="242">
        <v>2179419</v>
      </c>
      <c r="AR7" s="242">
        <v>444079</v>
      </c>
      <c r="AS7" s="242">
        <v>3118750</v>
      </c>
      <c r="AT7" s="242">
        <v>12496287</v>
      </c>
      <c r="AU7" s="242">
        <v>1353257</v>
      </c>
      <c r="AV7" s="242">
        <v>358286</v>
      </c>
      <c r="AW7" s="242">
        <v>4208232</v>
      </c>
      <c r="AX7" s="242">
        <v>3473092</v>
      </c>
      <c r="AY7" s="242">
        <v>806165</v>
      </c>
      <c r="AZ7" s="242">
        <v>3069021</v>
      </c>
      <c r="BA7" s="242">
        <v>303176</v>
      </c>
    </row>
    <row r="8" spans="1:55" x14ac:dyDescent="0.2">
      <c r="A8" s="65">
        <v>5</v>
      </c>
      <c r="B8" s="70" t="s">
        <v>743</v>
      </c>
      <c r="C8" s="60">
        <f>C6*C7/100</f>
        <v>24514428.087000001</v>
      </c>
      <c r="D8" s="60">
        <f>D6*D7/100</f>
        <v>354723.3</v>
      </c>
      <c r="E8" s="60">
        <f t="shared" ref="E8:BA8" si="44">E6*E7/100</f>
        <v>49263.39</v>
      </c>
      <c r="F8" s="60">
        <f t="shared" si="44"/>
        <v>548742.06000000006</v>
      </c>
      <c r="G8" s="60">
        <f t="shared" si="44"/>
        <v>190839.83399999997</v>
      </c>
      <c r="H8" s="60">
        <f t="shared" si="44"/>
        <v>3886173.3130000001</v>
      </c>
      <c r="I8" s="60">
        <f t="shared" si="44"/>
        <v>411589.30699999997</v>
      </c>
      <c r="J8" s="60">
        <f t="shared" si="44"/>
        <v>293696.01799999998</v>
      </c>
      <c r="K8" s="60">
        <f t="shared" si="44"/>
        <v>57810.191999999995</v>
      </c>
      <c r="L8" s="60">
        <f t="shared" si="44"/>
        <v>1631244.2080000001</v>
      </c>
      <c r="M8" s="60">
        <f t="shared" si="44"/>
        <v>812016.75600000005</v>
      </c>
      <c r="N8" s="60">
        <f t="shared" si="44"/>
        <v>99127.120999999999</v>
      </c>
      <c r="O8" s="60">
        <f t="shared" si="44"/>
        <v>123321.814</v>
      </c>
      <c r="P8" s="60">
        <f t="shared" si="44"/>
        <v>1117816.3</v>
      </c>
      <c r="Q8" s="60">
        <f t="shared" si="44"/>
        <v>497709.625</v>
      </c>
      <c r="R8" s="60">
        <f t="shared" si="44"/>
        <v>188251.10700000002</v>
      </c>
      <c r="S8" s="60">
        <f t="shared" si="44"/>
        <v>181140.38800000001</v>
      </c>
      <c r="T8" s="60">
        <f t="shared" si="44"/>
        <v>323823.70799999998</v>
      </c>
      <c r="U8" s="60">
        <f t="shared" si="44"/>
        <v>276871.60400000005</v>
      </c>
      <c r="V8" s="60">
        <f t="shared" si="44"/>
        <v>106488.522</v>
      </c>
      <c r="W8" s="60">
        <f t="shared" si="44"/>
        <v>390203.73</v>
      </c>
      <c r="X8" s="60">
        <f t="shared" si="44"/>
        <v>495616.40700000001</v>
      </c>
      <c r="Y8" s="60">
        <f t="shared" si="44"/>
        <v>879758.7840000001</v>
      </c>
      <c r="Z8" s="60">
        <f t="shared" si="44"/>
        <v>379854.592</v>
      </c>
      <c r="AA8" s="60">
        <f t="shared" si="44"/>
        <v>218060.13999999996</v>
      </c>
      <c r="AB8" s="60">
        <f t="shared" si="44"/>
        <v>434373.12</v>
      </c>
      <c r="AC8" s="60">
        <f t="shared" si="44"/>
        <v>76425.33600000001</v>
      </c>
      <c r="AD8" s="60">
        <f t="shared" si="44"/>
        <v>89401.923999999999</v>
      </c>
      <c r="AE8" s="60">
        <f t="shared" si="44"/>
        <v>316064.81199999998</v>
      </c>
      <c r="AF8" s="60">
        <f t="shared" si="44"/>
        <v>83446.432000000001</v>
      </c>
      <c r="AG8" s="60">
        <f t="shared" si="44"/>
        <v>725724.48</v>
      </c>
      <c r="AH8" s="60">
        <f t="shared" si="44"/>
        <v>135818.592</v>
      </c>
      <c r="AI8" s="60">
        <f t="shared" si="44"/>
        <v>1364456.0930000001</v>
      </c>
      <c r="AJ8" s="60">
        <f t="shared" si="44"/>
        <v>834000.55899999989</v>
      </c>
      <c r="AK8" s="60">
        <f t="shared" si="44"/>
        <v>25389.606</v>
      </c>
      <c r="AL8" s="60">
        <f t="shared" si="44"/>
        <v>850924.34700000007</v>
      </c>
      <c r="AM8" s="60">
        <f t="shared" si="44"/>
        <v>190142.424</v>
      </c>
      <c r="AN8" s="60">
        <f t="shared" si="44"/>
        <v>344277.32500000001</v>
      </c>
      <c r="AO8" s="60">
        <f t="shared" si="44"/>
        <v>889169.1</v>
      </c>
      <c r="AP8" s="60">
        <f t="shared" si="44"/>
        <v>104631.69600000001</v>
      </c>
      <c r="AQ8" s="60">
        <f t="shared" si="44"/>
        <v>396654.25799999997</v>
      </c>
      <c r="AR8" s="60">
        <f t="shared" si="44"/>
        <v>41299.347000000002</v>
      </c>
      <c r="AS8" s="60">
        <f t="shared" si="44"/>
        <v>483406.25</v>
      </c>
      <c r="AT8" s="60">
        <f t="shared" si="44"/>
        <v>1749480.18</v>
      </c>
      <c r="AU8" s="60">
        <f t="shared" si="44"/>
        <v>179983.18100000001</v>
      </c>
      <c r="AV8" s="60">
        <f t="shared" si="44"/>
        <v>41561.175999999999</v>
      </c>
      <c r="AW8" s="60">
        <f t="shared" si="44"/>
        <v>496571.37599999999</v>
      </c>
      <c r="AX8" s="60">
        <f t="shared" si="44"/>
        <v>618210.37600000005</v>
      </c>
      <c r="AY8" s="60">
        <f t="shared" si="44"/>
        <v>110444.605</v>
      </c>
      <c r="AZ8" s="60">
        <f t="shared" si="44"/>
        <v>435800.98199999996</v>
      </c>
      <c r="BA8" s="60">
        <f t="shared" si="44"/>
        <v>32136.656000000003</v>
      </c>
    </row>
    <row r="9" spans="1:55" x14ac:dyDescent="0.2">
      <c r="A9" s="65">
        <v>6</v>
      </c>
      <c r="B9" s="389" t="s">
        <v>744</v>
      </c>
      <c r="C9" s="257">
        <f t="shared" ref="C9:AG9" si="45">AverageWageRate</f>
        <v>21.745192307692307</v>
      </c>
      <c r="D9" s="257">
        <f t="shared" si="45"/>
        <v>18.83653846153846</v>
      </c>
      <c r="E9" s="257">
        <f t="shared" si="45"/>
        <v>24.802884615384617</v>
      </c>
      <c r="F9" s="257">
        <f t="shared" si="45"/>
        <v>20.995192307692307</v>
      </c>
      <c r="G9" s="257">
        <f t="shared" si="45"/>
        <v>17.471153846153847</v>
      </c>
      <c r="H9" s="257">
        <f t="shared" si="45"/>
        <v>24.956730769230766</v>
      </c>
      <c r="I9" s="257">
        <f t="shared" si="45"/>
        <v>22.841346153846153</v>
      </c>
      <c r="J9" s="257">
        <f t="shared" si="45"/>
        <v>25.39903846153846</v>
      </c>
      <c r="K9" s="257">
        <f t="shared" si="45"/>
        <v>22.798076923076923</v>
      </c>
      <c r="L9" s="257">
        <f t="shared" si="45"/>
        <v>19.591346153846153</v>
      </c>
      <c r="M9" s="257">
        <f t="shared" si="45"/>
        <v>20.47596153846154</v>
      </c>
      <c r="N9" s="257">
        <f t="shared" si="45"/>
        <v>21.442307692307693</v>
      </c>
      <c r="O9" s="257">
        <f t="shared" si="45"/>
        <v>18.519230769230766</v>
      </c>
      <c r="P9" s="257">
        <f t="shared" si="45"/>
        <v>22.379807692307693</v>
      </c>
      <c r="Q9" s="257">
        <f t="shared" si="45"/>
        <v>19.08653846153846</v>
      </c>
      <c r="R9" s="257">
        <f t="shared" si="45"/>
        <v>18.66346153846154</v>
      </c>
      <c r="S9" s="257">
        <f t="shared" si="45"/>
        <v>19.245192307692307</v>
      </c>
      <c r="T9" s="257">
        <f t="shared" si="45"/>
        <v>18.576923076923077</v>
      </c>
      <c r="U9" s="257">
        <f t="shared" si="45"/>
        <v>18.644230769230766</v>
      </c>
      <c r="V9" s="257">
        <f t="shared" si="45"/>
        <v>19.322115384615383</v>
      </c>
      <c r="W9" s="257">
        <f t="shared" si="45"/>
        <v>24.932692307692307</v>
      </c>
      <c r="X9" s="257">
        <f t="shared" si="45"/>
        <v>26.31730769230769</v>
      </c>
      <c r="Y9" s="257">
        <f t="shared" si="45"/>
        <v>21.009615384615383</v>
      </c>
      <c r="Z9" s="257">
        <f t="shared" si="45"/>
        <v>22.1875</v>
      </c>
      <c r="AA9" s="257">
        <f t="shared" si="45"/>
        <v>16.716346153846153</v>
      </c>
      <c r="AB9" s="257">
        <f t="shared" si="45"/>
        <v>19.471153846153847</v>
      </c>
      <c r="AC9" s="257">
        <f t="shared" si="45"/>
        <v>17.71153846153846</v>
      </c>
      <c r="AD9" s="257">
        <f t="shared" si="45"/>
        <v>18.817307692307693</v>
      </c>
      <c r="AE9" s="257">
        <f t="shared" si="45"/>
        <v>20.125</v>
      </c>
      <c r="AF9" s="257">
        <f t="shared" si="45"/>
        <v>21.740384615384617</v>
      </c>
      <c r="AG9" s="257">
        <f t="shared" si="45"/>
        <v>24.778846153846153</v>
      </c>
      <c r="AH9" s="257">
        <f t="shared" ref="AH9:BA9" si="46">AverageWageRate</f>
        <v>19.610576923076923</v>
      </c>
      <c r="AI9" s="257">
        <f t="shared" si="46"/>
        <v>25.389423076923077</v>
      </c>
      <c r="AJ9" s="257">
        <f t="shared" si="46"/>
        <v>19.831730769230766</v>
      </c>
      <c r="AK9" s="257">
        <f t="shared" si="46"/>
        <v>18.6875</v>
      </c>
      <c r="AL9" s="257">
        <f t="shared" si="46"/>
        <v>19.995192307692307</v>
      </c>
      <c r="AM9" s="257">
        <f t="shared" si="46"/>
        <v>18.360576923076923</v>
      </c>
      <c r="AN9" s="257">
        <f t="shared" si="46"/>
        <v>21.293269230769234</v>
      </c>
      <c r="AO9" s="257">
        <f t="shared" si="46"/>
        <v>21.1875</v>
      </c>
      <c r="AP9" s="257">
        <f t="shared" si="46"/>
        <v>22.783653846153847</v>
      </c>
      <c r="AQ9" s="257">
        <f t="shared" si="46"/>
        <v>18.53846153846154</v>
      </c>
      <c r="AR9" s="257">
        <f t="shared" si="46"/>
        <v>17.014423076923077</v>
      </c>
      <c r="AS9" s="257">
        <f t="shared" si="46"/>
        <v>18.8125</v>
      </c>
      <c r="AT9" s="257">
        <f t="shared" si="46"/>
        <v>20.716346153846153</v>
      </c>
      <c r="AU9" s="257">
        <f t="shared" si="46"/>
        <v>19.6875</v>
      </c>
      <c r="AV9" s="257">
        <f t="shared" si="46"/>
        <v>20.71153846153846</v>
      </c>
      <c r="AW9" s="257">
        <f t="shared" si="46"/>
        <v>23.495192307692307</v>
      </c>
      <c r="AX9" s="257">
        <f t="shared" si="46"/>
        <v>24.173076923076923</v>
      </c>
      <c r="AY9" s="257">
        <f t="shared" si="46"/>
        <v>17.41346153846154</v>
      </c>
      <c r="AZ9" s="257">
        <f t="shared" si="46"/>
        <v>19.91346153846154</v>
      </c>
      <c r="BA9" s="257">
        <f t="shared" si="46"/>
        <v>20.4375</v>
      </c>
    </row>
    <row r="10" spans="1:55" x14ac:dyDescent="0.2">
      <c r="A10" s="65">
        <v>7</v>
      </c>
      <c r="B10" s="389" t="s">
        <v>962</v>
      </c>
      <c r="C10" s="248">
        <f>(803*(1.0059^2))</f>
        <v>812.50335243000006</v>
      </c>
    </row>
    <row r="11" spans="1:55" x14ac:dyDescent="0.2">
      <c r="A11" s="65">
        <v>8</v>
      </c>
      <c r="B11" s="69" t="s">
        <v>963</v>
      </c>
      <c r="C11" s="60">
        <f>C8*C10</f>
        <v>19918055003.591656</v>
      </c>
      <c r="D11" s="60">
        <f t="shared" ref="D11:AH11" si="47">D8*$C10</f>
        <v>288213870.43503261</v>
      </c>
      <c r="E11" s="60">
        <f t="shared" si="47"/>
        <v>40026669.527066544</v>
      </c>
      <c r="F11" s="60">
        <f t="shared" si="47"/>
        <v>445854763.36934429</v>
      </c>
      <c r="G11" s="60">
        <f t="shared" si="47"/>
        <v>155058004.9021847</v>
      </c>
      <c r="H11" s="60">
        <f t="shared" si="47"/>
        <v>3157528844.9365001</v>
      </c>
      <c r="I11" s="60">
        <f t="shared" si="47"/>
        <v>334417691.76184046</v>
      </c>
      <c r="J11" s="60">
        <f t="shared" si="47"/>
        <v>238628999.22034162</v>
      </c>
      <c r="K11" s="60">
        <f t="shared" si="47"/>
        <v>46970974.804621965</v>
      </c>
      <c r="L11" s="60">
        <f t="shared" si="47"/>
        <v>1325391387.6320205</v>
      </c>
      <c r="M11" s="60">
        <f t="shared" si="47"/>
        <v>659766336.4793334</v>
      </c>
      <c r="N11" s="60">
        <f t="shared" si="47"/>
        <v>80541118.129234254</v>
      </c>
      <c r="O11" s="60">
        <f t="shared" si="47"/>
        <v>100199387.30274892</v>
      </c>
      <c r="P11" s="60">
        <f t="shared" si="47"/>
        <v>908229491.15089869</v>
      </c>
      <c r="Q11" s="60">
        <f t="shared" si="47"/>
        <v>404390738.84917819</v>
      </c>
      <c r="R11" s="60">
        <f t="shared" si="47"/>
        <v>152954655.53615868</v>
      </c>
      <c r="S11" s="60">
        <f t="shared" si="47"/>
        <v>147177172.51047096</v>
      </c>
      <c r="T11" s="60">
        <f t="shared" si="47"/>
        <v>263107848.34631342</v>
      </c>
      <c r="U11" s="60">
        <f t="shared" si="47"/>
        <v>224959106.44267145</v>
      </c>
      <c r="V11" s="60">
        <f t="shared" si="47"/>
        <v>86522281.12031582</v>
      </c>
      <c r="W11" s="60">
        <f t="shared" si="47"/>
        <v>317041838.75569057</v>
      </c>
      <c r="X11" s="60">
        <f t="shared" si="47"/>
        <v>402689992.20681137</v>
      </c>
      <c r="Y11" s="60">
        <f t="shared" si="47"/>
        <v>714806961.32974041</v>
      </c>
      <c r="Z11" s="60">
        <f t="shared" si="47"/>
        <v>308633129.43592989</v>
      </c>
      <c r="AA11" s="60">
        <f t="shared" si="47"/>
        <v>177174594.78135511</v>
      </c>
      <c r="AB11" s="60">
        <f t="shared" si="47"/>
        <v>352929616.20547873</v>
      </c>
      <c r="AC11" s="60">
        <f t="shared" si="47"/>
        <v>62095841.710589178</v>
      </c>
      <c r="AD11" s="60">
        <f t="shared" si="47"/>
        <v>72639362.963692084</v>
      </c>
      <c r="AE11" s="60">
        <f t="shared" si="47"/>
        <v>256803719.33515769</v>
      </c>
      <c r="AF11" s="60">
        <f t="shared" si="47"/>
        <v>67800505.74832204</v>
      </c>
      <c r="AG11" s="60">
        <f t="shared" si="47"/>
        <v>589653572.9405185</v>
      </c>
      <c r="AH11" s="60">
        <f t="shared" si="47"/>
        <v>110353061.32232238</v>
      </c>
      <c r="AI11" s="60">
        <f t="shared" ref="AI11:BA11" si="48">AI8*$C10</f>
        <v>1108625149.80604</v>
      </c>
      <c r="AJ11" s="60">
        <f t="shared" si="48"/>
        <v>677628250.11599398</v>
      </c>
      <c r="AK11" s="60">
        <f t="shared" si="48"/>
        <v>20629139.991876844</v>
      </c>
      <c r="AL11" s="60">
        <f t="shared" si="48"/>
        <v>691378884.60180867</v>
      </c>
      <c r="AM11" s="60">
        <f t="shared" si="48"/>
        <v>154491356.93916652</v>
      </c>
      <c r="AN11" s="60">
        <f t="shared" si="48"/>
        <v>279726480.72813267</v>
      </c>
      <c r="AO11" s="60">
        <f t="shared" si="48"/>
        <v>722452874.62716591</v>
      </c>
      <c r="AP11" s="60">
        <f t="shared" si="48"/>
        <v>85013603.77043663</v>
      </c>
      <c r="AQ11" s="60">
        <f t="shared" si="48"/>
        <v>322282914.38063413</v>
      </c>
      <c r="AR11" s="60">
        <f t="shared" si="48"/>
        <v>33555857.890669867</v>
      </c>
      <c r="AS11" s="60">
        <f t="shared" si="48"/>
        <v>392769198.71061474</v>
      </c>
      <c r="AT11" s="60">
        <f t="shared" si="48"/>
        <v>1421458511.25984</v>
      </c>
      <c r="AU11" s="60">
        <f t="shared" si="48"/>
        <v>146236937.94351551</v>
      </c>
      <c r="AV11" s="60">
        <f t="shared" si="48"/>
        <v>33768594.830933258</v>
      </c>
      <c r="AW11" s="60">
        <f t="shared" si="48"/>
        <v>403465907.72077805</v>
      </c>
      <c r="AX11" s="60">
        <f t="shared" si="48"/>
        <v>502298003.00701088</v>
      </c>
      <c r="AY11" s="60">
        <f t="shared" si="48"/>
        <v>89736611.82030715</v>
      </c>
      <c r="AZ11" s="60">
        <f t="shared" si="48"/>
        <v>354089758.86728609</v>
      </c>
      <c r="BA11" s="60">
        <f t="shared" si="48"/>
        <v>26111140.735889677</v>
      </c>
    </row>
    <row r="13" spans="1:55" x14ac:dyDescent="0.2">
      <c r="B13" s="59" t="s">
        <v>579</v>
      </c>
      <c r="F13">
        <f>40*50</f>
        <v>2000</v>
      </c>
    </row>
    <row r="14" spans="1:55" x14ac:dyDescent="0.2">
      <c r="A14">
        <v>1</v>
      </c>
      <c r="B14" s="69" t="s">
        <v>633</v>
      </c>
    </row>
    <row r="15" spans="1:55" x14ac:dyDescent="0.2">
      <c r="A15">
        <v>2</v>
      </c>
      <c r="B15" s="96" t="s">
        <v>583</v>
      </c>
    </row>
    <row r="16" spans="1:55" x14ac:dyDescent="0.2">
      <c r="A16">
        <v>3</v>
      </c>
      <c r="B16" t="s">
        <v>584</v>
      </c>
    </row>
    <row r="17" spans="1:55" x14ac:dyDescent="0.2">
      <c r="A17">
        <v>4</v>
      </c>
      <c r="B17" t="s">
        <v>346</v>
      </c>
    </row>
    <row r="18" spans="1:55" x14ac:dyDescent="0.2">
      <c r="A18">
        <v>5</v>
      </c>
      <c r="B18" t="s">
        <v>585</v>
      </c>
    </row>
    <row r="19" spans="1:55" x14ac:dyDescent="0.2">
      <c r="A19">
        <v>6</v>
      </c>
      <c r="B19" t="s">
        <v>355</v>
      </c>
    </row>
    <row r="20" spans="1:55" x14ac:dyDescent="0.2">
      <c r="A20">
        <v>7</v>
      </c>
      <c r="B20" t="s">
        <v>745</v>
      </c>
    </row>
    <row r="22" spans="1:55" x14ac:dyDescent="0.2">
      <c r="A22" s="3"/>
      <c r="B22" s="3" t="s">
        <v>335</v>
      </c>
      <c r="C22" s="6"/>
      <c r="D22" s="3">
        <v>1</v>
      </c>
      <c r="E22" s="3">
        <f t="shared" ref="E22:K22" si="49">D22+1</f>
        <v>2</v>
      </c>
      <c r="F22" s="3">
        <f t="shared" si="49"/>
        <v>3</v>
      </c>
      <c r="G22" s="3">
        <f t="shared" si="49"/>
        <v>4</v>
      </c>
      <c r="H22" s="3">
        <f t="shared" si="49"/>
        <v>5</v>
      </c>
      <c r="I22" s="3">
        <f t="shared" si="49"/>
        <v>6</v>
      </c>
      <c r="J22" s="3">
        <f t="shared" si="49"/>
        <v>7</v>
      </c>
      <c r="K22" s="3">
        <f t="shared" si="49"/>
        <v>8</v>
      </c>
      <c r="L22" s="3">
        <f t="shared" ref="L22" si="50">K22+1</f>
        <v>9</v>
      </c>
      <c r="M22" s="3">
        <f t="shared" ref="M22" si="51">L22+1</f>
        <v>10</v>
      </c>
      <c r="N22" s="3">
        <f t="shared" ref="N22" si="52">M22+1</f>
        <v>11</v>
      </c>
      <c r="O22" s="3">
        <f t="shared" ref="O22" si="53">N22+1</f>
        <v>12</v>
      </c>
      <c r="P22" s="3">
        <f t="shared" ref="P22" si="54">O22+1</f>
        <v>13</v>
      </c>
      <c r="Q22" s="3">
        <f t="shared" ref="Q22" si="55">P22+1</f>
        <v>14</v>
      </c>
      <c r="R22" s="3">
        <f t="shared" ref="R22" si="56">Q22+1</f>
        <v>15</v>
      </c>
      <c r="S22" s="3">
        <f t="shared" ref="S22" si="57">R22+1</f>
        <v>16</v>
      </c>
      <c r="T22" s="3">
        <f t="shared" ref="T22" si="58">S22+1</f>
        <v>17</v>
      </c>
      <c r="U22" s="3">
        <f t="shared" ref="U22" si="59">T22+1</f>
        <v>18</v>
      </c>
      <c r="V22" s="3">
        <f t="shared" ref="V22" si="60">U22+1</f>
        <v>19</v>
      </c>
      <c r="W22" s="3">
        <f t="shared" ref="W22" si="61">V22+1</f>
        <v>20</v>
      </c>
      <c r="X22" s="3">
        <f t="shared" ref="X22" si="62">W22+1</f>
        <v>21</v>
      </c>
      <c r="Y22" s="3">
        <f t="shared" ref="Y22" si="63">X22+1</f>
        <v>22</v>
      </c>
      <c r="Z22" s="3">
        <f t="shared" ref="Z22" si="64">Y22+1</f>
        <v>23</v>
      </c>
      <c r="AA22" s="3">
        <f t="shared" ref="AA22" si="65">Z22+1</f>
        <v>24</v>
      </c>
      <c r="AB22" s="3">
        <f t="shared" ref="AB22" si="66">AA22+1</f>
        <v>25</v>
      </c>
      <c r="AC22" s="3">
        <f t="shared" ref="AC22" si="67">AB22+1</f>
        <v>26</v>
      </c>
      <c r="AD22" s="3">
        <f t="shared" ref="AD22" si="68">AC22+1</f>
        <v>27</v>
      </c>
      <c r="AE22" s="3">
        <f t="shared" ref="AE22" si="69">AD22+1</f>
        <v>28</v>
      </c>
      <c r="AF22" s="3">
        <f t="shared" ref="AF22" si="70">AE22+1</f>
        <v>29</v>
      </c>
      <c r="AG22" s="3">
        <f t="shared" ref="AG22" si="71">AF22+1</f>
        <v>30</v>
      </c>
      <c r="AH22" s="3">
        <f t="shared" ref="AH22" si="72">AG22+1</f>
        <v>31</v>
      </c>
      <c r="AI22" s="3">
        <f t="shared" ref="AI22" si="73">AH22+1</f>
        <v>32</v>
      </c>
      <c r="AJ22" s="3">
        <f t="shared" ref="AJ22" si="74">AI22+1</f>
        <v>33</v>
      </c>
      <c r="AK22" s="3">
        <f t="shared" ref="AK22" si="75">AJ22+1</f>
        <v>34</v>
      </c>
      <c r="AL22" s="3">
        <f t="shared" ref="AL22" si="76">AK22+1</f>
        <v>35</v>
      </c>
      <c r="AM22" s="3">
        <f t="shared" ref="AM22" si="77">AL22+1</f>
        <v>36</v>
      </c>
      <c r="AN22" s="3">
        <f t="shared" ref="AN22" si="78">AM22+1</f>
        <v>37</v>
      </c>
      <c r="AO22" s="3">
        <f t="shared" ref="AO22" si="79">AN22+1</f>
        <v>38</v>
      </c>
      <c r="AP22" s="3">
        <f t="shared" ref="AP22" si="80">AO22+1</f>
        <v>39</v>
      </c>
      <c r="AQ22" s="3">
        <f t="shared" ref="AQ22" si="81">AP22+1</f>
        <v>40</v>
      </c>
      <c r="AR22" s="3">
        <f t="shared" ref="AR22" si="82">AQ22+1</f>
        <v>41</v>
      </c>
      <c r="AS22" s="3">
        <f t="shared" ref="AS22" si="83">AR22+1</f>
        <v>42</v>
      </c>
      <c r="AT22" s="3">
        <f t="shared" ref="AT22" si="84">AS22+1</f>
        <v>43</v>
      </c>
      <c r="AU22" s="3">
        <f t="shared" ref="AU22" si="85">AT22+1</f>
        <v>44</v>
      </c>
      <c r="AV22" s="3">
        <f t="shared" ref="AV22" si="86">AU22+1</f>
        <v>45</v>
      </c>
      <c r="AW22" s="3">
        <f t="shared" ref="AW22" si="87">AV22+1</f>
        <v>46</v>
      </c>
      <c r="AX22" s="3">
        <f t="shared" ref="AX22" si="88">AW22+1</f>
        <v>47</v>
      </c>
      <c r="AY22" s="3">
        <f t="shared" ref="AY22" si="89">AX22+1</f>
        <v>48</v>
      </c>
      <c r="AZ22" s="3">
        <f t="shared" ref="AZ22" si="90">AY22+1</f>
        <v>49</v>
      </c>
      <c r="BA22" s="3">
        <f t="shared" ref="BA22" si="91">AZ22+1</f>
        <v>50</v>
      </c>
      <c r="BB22" s="3"/>
      <c r="BC22" s="2"/>
    </row>
    <row r="23" spans="1:55" x14ac:dyDescent="0.2">
      <c r="A23" s="3"/>
      <c r="B23" s="3"/>
      <c r="C23" s="6" t="s">
        <v>95</v>
      </c>
      <c r="D23" s="4" t="s">
        <v>144</v>
      </c>
      <c r="E23" s="4" t="s">
        <v>145</v>
      </c>
      <c r="F23" s="4" t="s">
        <v>146</v>
      </c>
      <c r="G23" s="4" t="s">
        <v>147</v>
      </c>
      <c r="H23" s="4" t="s">
        <v>148</v>
      </c>
      <c r="I23" s="4" t="s">
        <v>149</v>
      </c>
      <c r="J23" s="4" t="s">
        <v>150</v>
      </c>
      <c r="K23" s="4" t="s">
        <v>151</v>
      </c>
      <c r="L23" s="4" t="s">
        <v>152</v>
      </c>
      <c r="M23" s="4" t="s">
        <v>153</v>
      </c>
      <c r="N23" s="4" t="s">
        <v>154</v>
      </c>
      <c r="O23" s="4" t="s">
        <v>155</v>
      </c>
      <c r="P23" s="4" t="s">
        <v>156</v>
      </c>
      <c r="Q23" s="4" t="s">
        <v>2</v>
      </c>
      <c r="R23" s="4" t="s">
        <v>3</v>
      </c>
      <c r="S23" s="4" t="s">
        <v>4</v>
      </c>
      <c r="T23" s="4" t="s">
        <v>5</v>
      </c>
      <c r="U23" s="4" t="s">
        <v>6</v>
      </c>
      <c r="V23" s="4" t="s">
        <v>7</v>
      </c>
      <c r="W23" s="4" t="s">
        <v>8</v>
      </c>
      <c r="X23" s="4" t="s">
        <v>9</v>
      </c>
      <c r="Y23" s="4" t="s">
        <v>10</v>
      </c>
      <c r="Z23" s="4" t="s">
        <v>11</v>
      </c>
      <c r="AA23" s="4" t="s">
        <v>12</v>
      </c>
      <c r="AB23" s="4" t="s">
        <v>13</v>
      </c>
      <c r="AC23" s="4" t="s">
        <v>14</v>
      </c>
      <c r="AD23" s="4" t="s">
        <v>15</v>
      </c>
      <c r="AE23" s="4" t="s">
        <v>16</v>
      </c>
      <c r="AF23" s="4" t="s">
        <v>17</v>
      </c>
      <c r="AG23" s="4" t="s">
        <v>18</v>
      </c>
      <c r="AH23" s="4" t="s">
        <v>19</v>
      </c>
      <c r="AI23" s="4" t="s">
        <v>20</v>
      </c>
      <c r="AJ23" s="4" t="s">
        <v>21</v>
      </c>
      <c r="AK23" s="4" t="s">
        <v>22</v>
      </c>
      <c r="AL23" s="4" t="s">
        <v>23</v>
      </c>
      <c r="AM23" s="4" t="s">
        <v>24</v>
      </c>
      <c r="AN23" s="4" t="s">
        <v>25</v>
      </c>
      <c r="AO23" s="4" t="s">
        <v>26</v>
      </c>
      <c r="AP23" s="4" t="s">
        <v>27</v>
      </c>
      <c r="AQ23" s="4" t="s">
        <v>28</v>
      </c>
      <c r="AR23" s="4" t="s">
        <v>29</v>
      </c>
      <c r="AS23" s="4" t="s">
        <v>30</v>
      </c>
      <c r="AT23" s="4" t="s">
        <v>31</v>
      </c>
      <c r="AU23" s="4" t="s">
        <v>32</v>
      </c>
      <c r="AV23" s="4" t="s">
        <v>33</v>
      </c>
      <c r="AW23" s="4" t="s">
        <v>34</v>
      </c>
      <c r="AX23" s="4" t="s">
        <v>35</v>
      </c>
      <c r="AY23" s="4" t="s">
        <v>36</v>
      </c>
      <c r="AZ23" s="4" t="s">
        <v>37</v>
      </c>
      <c r="BA23" s="4" t="s">
        <v>38</v>
      </c>
      <c r="BB23" s="3" t="s">
        <v>97</v>
      </c>
      <c r="BC23" s="3" t="s">
        <v>92</v>
      </c>
    </row>
    <row r="24" spans="1:55" x14ac:dyDescent="0.2">
      <c r="A24" s="3"/>
      <c r="B24" s="3"/>
      <c r="C24" s="6" t="s">
        <v>96</v>
      </c>
      <c r="D24" s="3" t="s">
        <v>39</v>
      </c>
      <c r="E24" s="3" t="s">
        <v>40</v>
      </c>
      <c r="F24" s="3" t="s">
        <v>41</v>
      </c>
      <c r="G24" s="3" t="s">
        <v>42</v>
      </c>
      <c r="H24" s="3" t="s">
        <v>43</v>
      </c>
      <c r="I24" s="3" t="s">
        <v>44</v>
      </c>
      <c r="J24" s="3" t="s">
        <v>45</v>
      </c>
      <c r="K24" s="3" t="s">
        <v>46</v>
      </c>
      <c r="L24" s="3" t="s">
        <v>47</v>
      </c>
      <c r="M24" s="3" t="s">
        <v>48</v>
      </c>
      <c r="N24" s="3" t="s">
        <v>49</v>
      </c>
      <c r="O24" s="3" t="s">
        <v>50</v>
      </c>
      <c r="P24" s="3" t="s">
        <v>51</v>
      </c>
      <c r="Q24" s="3" t="s">
        <v>52</v>
      </c>
      <c r="R24" s="3" t="s">
        <v>53</v>
      </c>
      <c r="S24" s="3" t="s">
        <v>54</v>
      </c>
      <c r="T24" s="3" t="s">
        <v>55</v>
      </c>
      <c r="U24" s="3" t="s">
        <v>56</v>
      </c>
      <c r="V24" s="3" t="s">
        <v>57</v>
      </c>
      <c r="W24" s="3" t="s">
        <v>58</v>
      </c>
      <c r="X24" s="3" t="s">
        <v>59</v>
      </c>
      <c r="Y24" s="3" t="s">
        <v>60</v>
      </c>
      <c r="Z24" s="3" t="s">
        <v>61</v>
      </c>
      <c r="AA24" s="3" t="s">
        <v>62</v>
      </c>
      <c r="AB24" s="3" t="s">
        <v>63</v>
      </c>
      <c r="AC24" s="3" t="s">
        <v>64</v>
      </c>
      <c r="AD24" s="3" t="s">
        <v>65</v>
      </c>
      <c r="AE24" s="3" t="s">
        <v>66</v>
      </c>
      <c r="AF24" s="3" t="s">
        <v>67</v>
      </c>
      <c r="AG24" s="3" t="s">
        <v>68</v>
      </c>
      <c r="AH24" s="3" t="s">
        <v>69</v>
      </c>
      <c r="AI24" s="3" t="s">
        <v>70</v>
      </c>
      <c r="AJ24" s="3" t="s">
        <v>71</v>
      </c>
      <c r="AK24" s="3" t="s">
        <v>72</v>
      </c>
      <c r="AL24" s="3" t="s">
        <v>73</v>
      </c>
      <c r="AM24" s="3" t="s">
        <v>74</v>
      </c>
      <c r="AN24" s="3" t="s">
        <v>75</v>
      </c>
      <c r="AO24" s="3" t="s">
        <v>76</v>
      </c>
      <c r="AP24" s="3" t="s">
        <v>77</v>
      </c>
      <c r="AQ24" s="3" t="s">
        <v>78</v>
      </c>
      <c r="AR24" s="3" t="s">
        <v>79</v>
      </c>
      <c r="AS24" s="3" t="s">
        <v>80</v>
      </c>
      <c r="AT24" s="3" t="s">
        <v>81</v>
      </c>
      <c r="AU24" s="3" t="s">
        <v>82</v>
      </c>
      <c r="AV24" s="3" t="s">
        <v>83</v>
      </c>
      <c r="AW24" s="3" t="s">
        <v>84</v>
      </c>
      <c r="AX24" s="3" t="s">
        <v>85</v>
      </c>
      <c r="AY24" s="3" t="s">
        <v>86</v>
      </c>
      <c r="AZ24" s="3" t="s">
        <v>87</v>
      </c>
      <c r="BA24" s="3" t="s">
        <v>88</v>
      </c>
      <c r="BB24" s="3"/>
      <c r="BC24" s="2"/>
    </row>
    <row r="25" spans="1:55" x14ac:dyDescent="0.2">
      <c r="A25" s="65">
        <v>1</v>
      </c>
      <c r="B25" s="66" t="s">
        <v>336</v>
      </c>
      <c r="C25" s="68">
        <f t="shared" ref="C25:BA29" si="92">C34</f>
        <v>485.42370549499435</v>
      </c>
      <c r="D25" s="68">
        <f t="shared" si="92"/>
        <v>6.1067780693081888</v>
      </c>
      <c r="E25" s="68">
        <f t="shared" si="92"/>
        <v>1.1167290439290998</v>
      </c>
      <c r="F25" s="68">
        <f t="shared" si="92"/>
        <v>10.52954077709307</v>
      </c>
      <c r="G25" s="68">
        <f t="shared" si="92"/>
        <v>3.047277062661546</v>
      </c>
      <c r="H25" s="68">
        <f t="shared" si="92"/>
        <v>88.640293120789337</v>
      </c>
      <c r="I25" s="68">
        <f t="shared" si="92"/>
        <v>8.5922539291212363</v>
      </c>
      <c r="J25" s="68">
        <f t="shared" si="92"/>
        <v>6.8176807155551566</v>
      </c>
      <c r="K25" s="68">
        <f t="shared" si="92"/>
        <v>1.2045475565581885</v>
      </c>
      <c r="L25" s="68">
        <f t="shared" si="92"/>
        <v>29.208185982402959</v>
      </c>
      <c r="M25" s="68">
        <f t="shared" si="92"/>
        <v>15.196046739551452</v>
      </c>
      <c r="N25" s="68">
        <f t="shared" si="92"/>
        <v>1.9426087528710745</v>
      </c>
      <c r="O25" s="68">
        <f t="shared" si="92"/>
        <v>2.0872966321796356</v>
      </c>
      <c r="P25" s="68">
        <f t="shared" si="92"/>
        <v>22.863784238676551</v>
      </c>
      <c r="Q25" s="68">
        <f t="shared" si="92"/>
        <v>8.6820950441206275</v>
      </c>
      <c r="R25" s="68">
        <f t="shared" si="92"/>
        <v>3.211079510234653</v>
      </c>
      <c r="S25" s="68">
        <f t="shared" si="92"/>
        <v>3.1860961173332458</v>
      </c>
      <c r="T25" s="68">
        <f t="shared" si="92"/>
        <v>5.4979875082777703</v>
      </c>
      <c r="U25" s="68">
        <f t="shared" si="92"/>
        <v>4.7178508939252151</v>
      </c>
      <c r="V25" s="68">
        <f t="shared" si="92"/>
        <v>1.8805236304645063</v>
      </c>
      <c r="W25" s="68">
        <f t="shared" si="92"/>
        <v>8.8916409758621313</v>
      </c>
      <c r="X25" s="68">
        <f t="shared" si="92"/>
        <v>11.920883880002924</v>
      </c>
      <c r="Y25" s="68">
        <f t="shared" si="92"/>
        <v>16.892854378173688</v>
      </c>
      <c r="Z25" s="68">
        <f t="shared" si="92"/>
        <v>7.7027725814130363</v>
      </c>
      <c r="AA25" s="68">
        <f t="shared" si="92"/>
        <v>3.3314934737683259</v>
      </c>
      <c r="AB25" s="68">
        <f t="shared" si="92"/>
        <v>7.7299370124597102</v>
      </c>
      <c r="AC25" s="68">
        <f t="shared" si="92"/>
        <v>1.2371289441283302</v>
      </c>
      <c r="AD25" s="68">
        <f t="shared" si="92"/>
        <v>1.5375373558901502</v>
      </c>
      <c r="AE25" s="68">
        <f t="shared" si="92"/>
        <v>5.8134422342254046</v>
      </c>
      <c r="AF25" s="68">
        <f t="shared" si="92"/>
        <v>1.6580450234981343</v>
      </c>
      <c r="AG25" s="68">
        <f t="shared" si="92"/>
        <v>16.435169092685637</v>
      </c>
      <c r="AH25" s="68">
        <f t="shared" si="92"/>
        <v>2.4342821741125298</v>
      </c>
      <c r="AI25" s="68">
        <f t="shared" si="92"/>
        <v>31.661663002844602</v>
      </c>
      <c r="AJ25" s="68">
        <f t="shared" si="92"/>
        <v>15.116396825368332</v>
      </c>
      <c r="AK25" s="68">
        <f t="shared" si="92"/>
        <v>0.43363915721176655</v>
      </c>
      <c r="AL25" s="68">
        <f t="shared" si="92"/>
        <v>15.550267346566812</v>
      </c>
      <c r="AM25" s="68">
        <f t="shared" si="92"/>
        <v>3.1907051557794142</v>
      </c>
      <c r="AN25" s="68">
        <f t="shared" si="92"/>
        <v>6.6999581465670692</v>
      </c>
      <c r="AO25" s="68">
        <f t="shared" si="92"/>
        <v>17.218106984645154</v>
      </c>
      <c r="AP25" s="68">
        <f t="shared" si="92"/>
        <v>2.1787528250514665</v>
      </c>
      <c r="AQ25" s="68">
        <f t="shared" si="92"/>
        <v>6.7205858855628362</v>
      </c>
      <c r="AR25" s="68">
        <f t="shared" si="92"/>
        <v>0.64221691072086995</v>
      </c>
      <c r="AS25" s="68">
        <f t="shared" si="92"/>
        <v>8.3115131938066309</v>
      </c>
      <c r="AT25" s="68">
        <f t="shared" si="92"/>
        <v>33.124056012645788</v>
      </c>
      <c r="AU25" s="68">
        <f t="shared" si="92"/>
        <v>3.2384993848228993</v>
      </c>
      <c r="AV25" s="68">
        <f t="shared" si="92"/>
        <v>0.78672239291082147</v>
      </c>
      <c r="AW25" s="68">
        <f t="shared" si="92"/>
        <v>10.663063865759018</v>
      </c>
      <c r="AX25" s="68">
        <f t="shared" si="92"/>
        <v>13.658076740436908</v>
      </c>
      <c r="AY25" s="68">
        <f t="shared" si="92"/>
        <v>1.7577250491767726</v>
      </c>
      <c r="AZ25" s="68">
        <f t="shared" si="92"/>
        <v>7.9315175340670088</v>
      </c>
      <c r="BA25" s="68">
        <f t="shared" si="92"/>
        <v>0.60027433948598208</v>
      </c>
    </row>
    <row r="26" spans="1:55" x14ac:dyDescent="0.2">
      <c r="A26" s="65">
        <v>2</v>
      </c>
      <c r="B26" s="67" t="s">
        <v>337</v>
      </c>
      <c r="C26" s="68">
        <f t="shared" si="92"/>
        <v>8.9</v>
      </c>
      <c r="D26" s="68">
        <f t="shared" si="92"/>
        <v>8.5</v>
      </c>
      <c r="E26" s="68">
        <f t="shared" si="92"/>
        <v>7.6</v>
      </c>
      <c r="F26" s="68">
        <f t="shared" si="92"/>
        <v>9.4</v>
      </c>
      <c r="G26" s="68">
        <f t="shared" si="92"/>
        <v>8</v>
      </c>
      <c r="H26" s="68">
        <f t="shared" si="92"/>
        <v>11.8</v>
      </c>
      <c r="I26" s="68">
        <f t="shared" si="92"/>
        <v>8.5</v>
      </c>
      <c r="J26" s="68">
        <f t="shared" si="92"/>
        <v>8.9</v>
      </c>
      <c r="K26" s="68">
        <f t="shared" si="92"/>
        <v>7.4</v>
      </c>
      <c r="L26" s="68">
        <f t="shared" si="92"/>
        <v>10.3</v>
      </c>
      <c r="M26" s="68">
        <f t="shared" si="92"/>
        <v>9.9</v>
      </c>
      <c r="N26" s="68">
        <f t="shared" si="92"/>
        <v>6.5</v>
      </c>
      <c r="O26" s="68">
        <f t="shared" si="92"/>
        <v>8.4</v>
      </c>
      <c r="P26" s="68">
        <f t="shared" si="92"/>
        <v>9.6999999999999993</v>
      </c>
      <c r="Q26" s="68">
        <f t="shared" si="92"/>
        <v>8.8000000000000007</v>
      </c>
      <c r="R26" s="68">
        <f t="shared" si="92"/>
        <v>5.8</v>
      </c>
      <c r="S26" s="68">
        <f t="shared" si="92"/>
        <v>6.5</v>
      </c>
      <c r="T26" s="68">
        <f t="shared" si="92"/>
        <v>9.5</v>
      </c>
      <c r="U26" s="68">
        <f t="shared" si="92"/>
        <v>7.2</v>
      </c>
      <c r="V26" s="68">
        <f t="shared" si="92"/>
        <v>7.7</v>
      </c>
      <c r="W26" s="68">
        <f t="shared" si="92"/>
        <v>7.3</v>
      </c>
      <c r="X26" s="68">
        <f t="shared" si="92"/>
        <v>7.3</v>
      </c>
      <c r="Y26" s="68">
        <f t="shared" si="92"/>
        <v>10.4</v>
      </c>
      <c r="Z26" s="68">
        <f t="shared" si="92"/>
        <v>6.5</v>
      </c>
      <c r="AA26" s="68">
        <f t="shared" si="92"/>
        <v>10.6</v>
      </c>
      <c r="AB26" s="68">
        <f t="shared" si="92"/>
        <v>8.5</v>
      </c>
      <c r="AC26" s="68">
        <f t="shared" si="92"/>
        <v>6.5</v>
      </c>
      <c r="AD26" s="68">
        <f t="shared" si="92"/>
        <v>4.5</v>
      </c>
      <c r="AE26" s="68">
        <f t="shared" si="92"/>
        <v>13.2</v>
      </c>
      <c r="AF26" s="68">
        <f t="shared" si="92"/>
        <v>5.5</v>
      </c>
      <c r="AG26" s="68">
        <f t="shared" si="92"/>
        <v>9.3000000000000007</v>
      </c>
      <c r="AH26" s="68">
        <f t="shared" si="92"/>
        <v>7.6</v>
      </c>
      <c r="AI26" s="68">
        <f t="shared" si="92"/>
        <v>8.1999999999999993</v>
      </c>
      <c r="AJ26" s="68">
        <f t="shared" si="92"/>
        <v>10.199999999999999</v>
      </c>
      <c r="AK26" s="68">
        <f t="shared" si="92"/>
        <v>3.4</v>
      </c>
      <c r="AL26" s="68">
        <f t="shared" si="92"/>
        <v>8.6999999999999993</v>
      </c>
      <c r="AM26" s="68">
        <f t="shared" si="92"/>
        <v>5.9</v>
      </c>
      <c r="AN26" s="68">
        <f t="shared" si="92"/>
        <v>9.6999999999999993</v>
      </c>
      <c r="AO26" s="68">
        <f t="shared" si="92"/>
        <v>8</v>
      </c>
      <c r="AP26" s="68">
        <f t="shared" si="92"/>
        <v>11.2</v>
      </c>
      <c r="AQ26" s="68">
        <f t="shared" si="92"/>
        <v>10.3</v>
      </c>
      <c r="AR26" s="68">
        <f t="shared" si="92"/>
        <v>4.7</v>
      </c>
      <c r="AS26" s="68">
        <f t="shared" si="92"/>
        <v>9.3000000000000007</v>
      </c>
      <c r="AT26" s="68">
        <f t="shared" si="92"/>
        <v>7.9</v>
      </c>
      <c r="AU26" s="68">
        <f t="shared" si="92"/>
        <v>6.8</v>
      </c>
      <c r="AV26" s="68">
        <f t="shared" si="92"/>
        <v>5.6</v>
      </c>
      <c r="AW26" s="68">
        <f t="shared" si="92"/>
        <v>6.4</v>
      </c>
      <c r="AX26" s="68">
        <f t="shared" si="92"/>
        <v>9.1999999999999993</v>
      </c>
      <c r="AY26" s="68">
        <f t="shared" si="92"/>
        <v>7.8</v>
      </c>
      <c r="AZ26" s="68">
        <f t="shared" si="92"/>
        <v>7.5</v>
      </c>
      <c r="BA26" s="68">
        <f t="shared" si="92"/>
        <v>6.1</v>
      </c>
    </row>
    <row r="27" spans="1:55" x14ac:dyDescent="0.2">
      <c r="A27" s="65">
        <v>3</v>
      </c>
      <c r="B27" s="69" t="s">
        <v>338</v>
      </c>
      <c r="C27" s="68">
        <f t="shared" si="92"/>
        <v>15.9</v>
      </c>
      <c r="D27" s="68">
        <f t="shared" si="92"/>
        <v>16.2</v>
      </c>
      <c r="E27" s="68">
        <f t="shared" si="92"/>
        <v>13.5</v>
      </c>
      <c r="F27" s="68">
        <f t="shared" si="92"/>
        <v>18</v>
      </c>
      <c r="G27" s="68">
        <f t="shared" si="92"/>
        <v>14.1</v>
      </c>
      <c r="H27" s="68">
        <f t="shared" si="92"/>
        <v>21.1</v>
      </c>
      <c r="I27" s="68">
        <f t="shared" si="92"/>
        <v>15.1</v>
      </c>
      <c r="J27" s="68">
        <f t="shared" si="92"/>
        <v>15.4</v>
      </c>
      <c r="K27" s="68">
        <f t="shared" si="92"/>
        <v>13.2</v>
      </c>
      <c r="L27" s="68">
        <f t="shared" si="92"/>
        <v>17.600000000000001</v>
      </c>
      <c r="M27" s="68">
        <f t="shared" si="92"/>
        <v>17.100000000000001</v>
      </c>
      <c r="N27" s="68">
        <f t="shared" si="92"/>
        <v>15.1</v>
      </c>
      <c r="O27" s="68">
        <f t="shared" si="92"/>
        <v>16.100000000000001</v>
      </c>
      <c r="P27" s="68">
        <f t="shared" si="92"/>
        <v>17</v>
      </c>
      <c r="Q27" s="68">
        <f t="shared" si="92"/>
        <v>15.7</v>
      </c>
      <c r="R27" s="68">
        <f t="shared" si="92"/>
        <v>11.3</v>
      </c>
      <c r="S27" s="68">
        <f t="shared" si="92"/>
        <v>12.1</v>
      </c>
      <c r="T27" s="68">
        <f t="shared" si="92"/>
        <v>15.6</v>
      </c>
      <c r="U27" s="68">
        <f t="shared" si="92"/>
        <v>13.4</v>
      </c>
      <c r="V27" s="68">
        <f t="shared" si="92"/>
        <v>15.1</v>
      </c>
      <c r="W27" s="68">
        <f t="shared" si="92"/>
        <v>12.6</v>
      </c>
      <c r="X27" s="68">
        <f t="shared" si="92"/>
        <v>14.3</v>
      </c>
      <c r="Y27" s="68">
        <f t="shared" si="92"/>
        <v>18.8</v>
      </c>
      <c r="Z27" s="68">
        <f t="shared" si="92"/>
        <v>12.8</v>
      </c>
      <c r="AA27" s="68">
        <f t="shared" si="92"/>
        <v>16.399999999999999</v>
      </c>
      <c r="AB27" s="68">
        <f t="shared" si="92"/>
        <v>14.4</v>
      </c>
      <c r="AC27" s="68">
        <f t="shared" si="92"/>
        <v>15.3</v>
      </c>
      <c r="AD27" s="68">
        <f t="shared" si="92"/>
        <v>8.9</v>
      </c>
      <c r="AE27" s="68">
        <f t="shared" si="92"/>
        <v>22.7</v>
      </c>
      <c r="AF27" s="68">
        <f t="shared" si="92"/>
        <v>11.3</v>
      </c>
      <c r="AG27" s="68">
        <f t="shared" si="92"/>
        <v>16</v>
      </c>
      <c r="AH27" s="68">
        <f t="shared" si="92"/>
        <v>14.7</v>
      </c>
      <c r="AI27" s="68">
        <f t="shared" si="92"/>
        <v>14.3</v>
      </c>
      <c r="AJ27" s="68">
        <f t="shared" si="92"/>
        <v>17.899999999999999</v>
      </c>
      <c r="AK27" s="68">
        <f t="shared" si="92"/>
        <v>6.6</v>
      </c>
      <c r="AL27" s="68">
        <f t="shared" si="92"/>
        <v>14.7</v>
      </c>
      <c r="AM27" s="68">
        <f t="shared" si="92"/>
        <v>10.7</v>
      </c>
      <c r="AN27" s="68">
        <f t="shared" si="92"/>
        <v>17.5</v>
      </c>
      <c r="AO27" s="68">
        <f t="shared" si="92"/>
        <v>13.9</v>
      </c>
      <c r="AP27" s="68">
        <f t="shared" si="92"/>
        <v>18.600000000000001</v>
      </c>
      <c r="AQ27" s="68">
        <f t="shared" si="92"/>
        <v>18.2</v>
      </c>
      <c r="AR27" s="68">
        <f t="shared" si="92"/>
        <v>9.3000000000000007</v>
      </c>
      <c r="AS27" s="68">
        <f t="shared" si="92"/>
        <v>15.5</v>
      </c>
      <c r="AT27" s="68">
        <f t="shared" si="92"/>
        <v>14</v>
      </c>
      <c r="AU27" s="68">
        <f t="shared" si="92"/>
        <v>13.3</v>
      </c>
      <c r="AV27" s="68">
        <f t="shared" si="92"/>
        <v>11.6</v>
      </c>
      <c r="AW27" s="68">
        <f t="shared" si="92"/>
        <v>11.8</v>
      </c>
      <c r="AX27" s="68">
        <f t="shared" si="92"/>
        <v>17.8</v>
      </c>
      <c r="AY27" s="68">
        <f t="shared" si="92"/>
        <v>13.7</v>
      </c>
      <c r="AZ27" s="68">
        <f t="shared" si="92"/>
        <v>14.2</v>
      </c>
      <c r="BA27" s="68">
        <f t="shared" si="92"/>
        <v>10.6</v>
      </c>
    </row>
    <row r="28" spans="1:55" x14ac:dyDescent="0.2">
      <c r="A28" s="65">
        <v>4</v>
      </c>
      <c r="B28" s="70" t="s">
        <v>339</v>
      </c>
      <c r="C28" s="60">
        <f t="shared" si="92"/>
        <v>153617000</v>
      </c>
      <c r="D28" s="60">
        <f t="shared" si="92"/>
        <v>2189650</v>
      </c>
      <c r="E28" s="60">
        <f t="shared" si="92"/>
        <v>364914</v>
      </c>
      <c r="F28" s="60">
        <f t="shared" si="92"/>
        <v>3048567</v>
      </c>
      <c r="G28" s="60">
        <f t="shared" si="92"/>
        <v>1353474</v>
      </c>
      <c r="H28" s="60">
        <f t="shared" si="92"/>
        <v>18417883</v>
      </c>
      <c r="I28" s="60">
        <f t="shared" si="92"/>
        <v>2725757</v>
      </c>
      <c r="J28" s="60">
        <f t="shared" si="92"/>
        <v>1907117</v>
      </c>
      <c r="K28" s="60">
        <f t="shared" si="92"/>
        <v>437956</v>
      </c>
      <c r="L28" s="60">
        <f t="shared" si="92"/>
        <v>9268433</v>
      </c>
      <c r="M28" s="60">
        <f t="shared" si="92"/>
        <v>4748636</v>
      </c>
      <c r="N28" s="60">
        <f t="shared" si="92"/>
        <v>656471</v>
      </c>
      <c r="O28" s="60">
        <f t="shared" si="92"/>
        <v>765974</v>
      </c>
      <c r="P28" s="60">
        <f t="shared" si="92"/>
        <v>6575390</v>
      </c>
      <c r="Q28" s="60">
        <f t="shared" si="92"/>
        <v>3170125</v>
      </c>
      <c r="R28" s="60">
        <f t="shared" si="92"/>
        <v>1665939</v>
      </c>
      <c r="S28" s="60">
        <f t="shared" si="92"/>
        <v>1497028</v>
      </c>
      <c r="T28" s="60">
        <f t="shared" si="92"/>
        <v>2075793</v>
      </c>
      <c r="U28" s="60">
        <f t="shared" si="92"/>
        <v>2066206</v>
      </c>
      <c r="V28" s="60">
        <f t="shared" si="92"/>
        <v>705222</v>
      </c>
      <c r="W28" s="60">
        <f t="shared" si="92"/>
        <v>3096855</v>
      </c>
      <c r="X28" s="60">
        <f t="shared" si="92"/>
        <v>3465849</v>
      </c>
      <c r="Y28" s="60">
        <f t="shared" si="92"/>
        <v>4679568</v>
      </c>
      <c r="Z28" s="60">
        <f t="shared" si="92"/>
        <v>2967614</v>
      </c>
      <c r="AA28" s="60">
        <f t="shared" si="92"/>
        <v>1329635</v>
      </c>
      <c r="AB28" s="60">
        <f t="shared" si="92"/>
        <v>3016480</v>
      </c>
      <c r="AC28" s="60">
        <f t="shared" si="92"/>
        <v>499512</v>
      </c>
      <c r="AD28" s="60">
        <f t="shared" si="92"/>
        <v>1004516</v>
      </c>
      <c r="AE28" s="60">
        <f t="shared" si="92"/>
        <v>1392356</v>
      </c>
      <c r="AF28" s="60">
        <f t="shared" si="92"/>
        <v>738464</v>
      </c>
      <c r="AG28" s="60">
        <f t="shared" si="92"/>
        <v>4535778</v>
      </c>
      <c r="AH28" s="60">
        <f t="shared" si="92"/>
        <v>923936</v>
      </c>
      <c r="AI28" s="60">
        <f t="shared" si="92"/>
        <v>9541651</v>
      </c>
      <c r="AJ28" s="60">
        <f t="shared" si="92"/>
        <v>4659221</v>
      </c>
      <c r="AK28" s="60">
        <f t="shared" si="92"/>
        <v>384691</v>
      </c>
      <c r="AL28" s="60">
        <f t="shared" si="92"/>
        <v>5788601</v>
      </c>
      <c r="AM28" s="60">
        <f t="shared" si="92"/>
        <v>1777032</v>
      </c>
      <c r="AN28" s="60">
        <f t="shared" si="92"/>
        <v>1967299</v>
      </c>
      <c r="AO28" s="60">
        <f t="shared" si="92"/>
        <v>6396900</v>
      </c>
      <c r="AP28" s="60">
        <f t="shared" si="92"/>
        <v>562536</v>
      </c>
      <c r="AQ28" s="60">
        <f t="shared" si="92"/>
        <v>2179419</v>
      </c>
      <c r="AR28" s="60">
        <f t="shared" si="92"/>
        <v>444079</v>
      </c>
      <c r="AS28" s="60">
        <f t="shared" si="92"/>
        <v>3118750</v>
      </c>
      <c r="AT28" s="60">
        <f t="shared" si="92"/>
        <v>12496287</v>
      </c>
      <c r="AU28" s="60">
        <f t="shared" si="92"/>
        <v>1353257</v>
      </c>
      <c r="AV28" s="60">
        <f t="shared" si="92"/>
        <v>358286</v>
      </c>
      <c r="AW28" s="60">
        <f t="shared" si="92"/>
        <v>4208232</v>
      </c>
      <c r="AX28" s="60">
        <f t="shared" si="92"/>
        <v>3473092</v>
      </c>
      <c r="AY28" s="60">
        <f t="shared" si="92"/>
        <v>806165</v>
      </c>
      <c r="AZ28" s="60">
        <f t="shared" si="92"/>
        <v>3069021</v>
      </c>
      <c r="BA28" s="60">
        <f t="shared" si="92"/>
        <v>303176</v>
      </c>
    </row>
    <row r="29" spans="1:55" x14ac:dyDescent="0.2">
      <c r="A29" s="65">
        <v>5</v>
      </c>
      <c r="B29" s="70" t="s">
        <v>340</v>
      </c>
      <c r="C29" s="60">
        <f t="shared" si="92"/>
        <v>24425103</v>
      </c>
      <c r="D29" s="60">
        <f t="shared" si="92"/>
        <v>354723.3</v>
      </c>
      <c r="E29" s="60">
        <f t="shared" si="92"/>
        <v>49263.39</v>
      </c>
      <c r="F29" s="60">
        <f t="shared" si="92"/>
        <v>548742.06000000006</v>
      </c>
      <c r="G29" s="60">
        <f t="shared" si="92"/>
        <v>190839.83399999997</v>
      </c>
      <c r="H29" s="60">
        <f t="shared" si="92"/>
        <v>3886173.3130000001</v>
      </c>
      <c r="I29" s="60">
        <f t="shared" si="92"/>
        <v>411589.30699999997</v>
      </c>
      <c r="J29" s="60">
        <f t="shared" si="92"/>
        <v>293696.01799999998</v>
      </c>
      <c r="K29" s="60">
        <f t="shared" si="92"/>
        <v>57810.191999999995</v>
      </c>
      <c r="L29" s="60">
        <f t="shared" si="92"/>
        <v>1631244.2080000001</v>
      </c>
      <c r="M29" s="60">
        <f t="shared" si="92"/>
        <v>812016.75600000005</v>
      </c>
      <c r="N29" s="60">
        <f t="shared" si="92"/>
        <v>99127.120999999999</v>
      </c>
      <c r="O29" s="60">
        <f t="shared" si="92"/>
        <v>123321.814</v>
      </c>
      <c r="P29" s="60">
        <f t="shared" si="92"/>
        <v>1117816.3</v>
      </c>
      <c r="Q29" s="60">
        <f t="shared" si="92"/>
        <v>497709.625</v>
      </c>
      <c r="R29" s="60">
        <f t="shared" si="92"/>
        <v>188251.10700000002</v>
      </c>
      <c r="S29" s="60">
        <f t="shared" si="92"/>
        <v>181140.38800000001</v>
      </c>
      <c r="T29" s="60">
        <f t="shared" si="92"/>
        <v>323823.70799999998</v>
      </c>
      <c r="U29" s="60">
        <f t="shared" si="92"/>
        <v>276871.60400000005</v>
      </c>
      <c r="V29" s="60">
        <f t="shared" si="92"/>
        <v>106488.522</v>
      </c>
      <c r="W29" s="60">
        <f t="shared" si="92"/>
        <v>390203.73</v>
      </c>
      <c r="X29" s="60">
        <f t="shared" si="92"/>
        <v>495616.40700000001</v>
      </c>
      <c r="Y29" s="60">
        <f t="shared" si="92"/>
        <v>879758.7840000001</v>
      </c>
      <c r="Z29" s="60">
        <f t="shared" si="92"/>
        <v>379854.592</v>
      </c>
      <c r="AA29" s="60">
        <f t="shared" si="92"/>
        <v>218060.13999999996</v>
      </c>
      <c r="AB29" s="60">
        <f t="shared" si="92"/>
        <v>434373.12</v>
      </c>
      <c r="AC29" s="60">
        <f t="shared" si="92"/>
        <v>76425.33600000001</v>
      </c>
      <c r="AD29" s="60">
        <f t="shared" si="92"/>
        <v>89401.923999999999</v>
      </c>
      <c r="AE29" s="60">
        <f t="shared" si="92"/>
        <v>316064.81199999998</v>
      </c>
      <c r="AF29" s="60">
        <f t="shared" si="92"/>
        <v>83446.432000000001</v>
      </c>
      <c r="AG29" s="60">
        <f t="shared" si="92"/>
        <v>725724.48</v>
      </c>
      <c r="AH29" s="60">
        <f t="shared" si="92"/>
        <v>135818.592</v>
      </c>
      <c r="AI29" s="60">
        <f t="shared" si="92"/>
        <v>1364456.0930000001</v>
      </c>
      <c r="AJ29" s="60">
        <f t="shared" si="92"/>
        <v>834000.55899999989</v>
      </c>
      <c r="AK29" s="60">
        <f t="shared" si="92"/>
        <v>25389.606</v>
      </c>
      <c r="AL29" s="60">
        <f t="shared" si="92"/>
        <v>850924.34700000007</v>
      </c>
      <c r="AM29" s="60">
        <f t="shared" si="92"/>
        <v>190142.424</v>
      </c>
      <c r="AN29" s="60">
        <f t="shared" si="92"/>
        <v>344277.32500000001</v>
      </c>
      <c r="AO29" s="60">
        <f t="shared" si="92"/>
        <v>889169.1</v>
      </c>
      <c r="AP29" s="60">
        <f t="shared" si="92"/>
        <v>104631.69600000001</v>
      </c>
      <c r="AQ29" s="60">
        <f t="shared" si="92"/>
        <v>396654.25799999997</v>
      </c>
      <c r="AR29" s="60">
        <f t="shared" si="92"/>
        <v>41299.347000000002</v>
      </c>
      <c r="AS29" s="60">
        <f t="shared" si="92"/>
        <v>483406.25</v>
      </c>
      <c r="AT29" s="60">
        <f t="shared" si="92"/>
        <v>1749480.18</v>
      </c>
      <c r="AU29" s="60">
        <f t="shared" si="92"/>
        <v>179983.18100000001</v>
      </c>
      <c r="AV29" s="60">
        <f t="shared" si="92"/>
        <v>41561.175999999999</v>
      </c>
      <c r="AW29" s="60">
        <f>AW38</f>
        <v>496571.37599999999</v>
      </c>
      <c r="AX29" s="60">
        <f>AX38</f>
        <v>618210.37600000005</v>
      </c>
      <c r="AY29" s="60">
        <f>AY38</f>
        <v>110444.605</v>
      </c>
      <c r="AZ29" s="60">
        <f>AZ38</f>
        <v>435800.98199999996</v>
      </c>
      <c r="BA29" s="60">
        <f>BA38</f>
        <v>32136.656000000003</v>
      </c>
    </row>
    <row r="30" spans="1:55" x14ac:dyDescent="0.2">
      <c r="A30" s="65">
        <v>9</v>
      </c>
      <c r="B30" s="69" t="s">
        <v>341</v>
      </c>
      <c r="C30" s="68">
        <f t="shared" ref="C30:BA30" si="93">C42</f>
        <v>21.745192307692307</v>
      </c>
      <c r="D30" s="68">
        <f t="shared" si="93"/>
        <v>18.83653846153846</v>
      </c>
      <c r="E30" s="68">
        <f t="shared" si="93"/>
        <v>24.802884615384617</v>
      </c>
      <c r="F30" s="68">
        <f t="shared" si="93"/>
        <v>20.995192307692307</v>
      </c>
      <c r="G30" s="68">
        <f t="shared" si="93"/>
        <v>17.471153846153847</v>
      </c>
      <c r="H30" s="68">
        <f t="shared" si="93"/>
        <v>24.956730769230766</v>
      </c>
      <c r="I30" s="68">
        <f t="shared" si="93"/>
        <v>22.841346153846153</v>
      </c>
      <c r="J30" s="68">
        <f t="shared" si="93"/>
        <v>25.39903846153846</v>
      </c>
      <c r="K30" s="68">
        <f t="shared" si="93"/>
        <v>22.798076923076923</v>
      </c>
      <c r="L30" s="68">
        <f t="shared" si="93"/>
        <v>19.591346153846153</v>
      </c>
      <c r="M30" s="68">
        <f t="shared" si="93"/>
        <v>20.47596153846154</v>
      </c>
      <c r="N30" s="68">
        <f t="shared" si="93"/>
        <v>21.442307692307693</v>
      </c>
      <c r="O30" s="68">
        <f t="shared" si="93"/>
        <v>18.519230769230766</v>
      </c>
      <c r="P30" s="68">
        <f t="shared" si="93"/>
        <v>22.379807692307693</v>
      </c>
      <c r="Q30" s="68">
        <f t="shared" si="93"/>
        <v>19.08653846153846</v>
      </c>
      <c r="R30" s="68">
        <f t="shared" si="93"/>
        <v>18.66346153846154</v>
      </c>
      <c r="S30" s="68">
        <f t="shared" si="93"/>
        <v>19.245192307692307</v>
      </c>
      <c r="T30" s="68">
        <f t="shared" si="93"/>
        <v>18.576923076923077</v>
      </c>
      <c r="U30" s="68">
        <f t="shared" si="93"/>
        <v>18.644230769230766</v>
      </c>
      <c r="V30" s="68">
        <f t="shared" si="93"/>
        <v>19.322115384615383</v>
      </c>
      <c r="W30" s="68">
        <f t="shared" si="93"/>
        <v>24.932692307692307</v>
      </c>
      <c r="X30" s="68">
        <f t="shared" si="93"/>
        <v>26.31730769230769</v>
      </c>
      <c r="Y30" s="68">
        <f t="shared" si="93"/>
        <v>21.009615384615383</v>
      </c>
      <c r="Z30" s="68">
        <f t="shared" si="93"/>
        <v>22.1875</v>
      </c>
      <c r="AA30" s="68">
        <f t="shared" si="93"/>
        <v>16.716346153846153</v>
      </c>
      <c r="AB30" s="68">
        <f t="shared" si="93"/>
        <v>19.471153846153847</v>
      </c>
      <c r="AC30" s="68">
        <f t="shared" si="93"/>
        <v>17.71153846153846</v>
      </c>
      <c r="AD30" s="68">
        <f t="shared" si="93"/>
        <v>18.817307692307693</v>
      </c>
      <c r="AE30" s="68">
        <f t="shared" si="93"/>
        <v>20.125</v>
      </c>
      <c r="AF30" s="68">
        <f t="shared" si="93"/>
        <v>21.740384615384617</v>
      </c>
      <c r="AG30" s="68">
        <f t="shared" si="93"/>
        <v>24.778846153846153</v>
      </c>
      <c r="AH30" s="68">
        <f t="shared" si="93"/>
        <v>19.610576923076923</v>
      </c>
      <c r="AI30" s="68">
        <f t="shared" si="93"/>
        <v>25.389423076923077</v>
      </c>
      <c r="AJ30" s="68">
        <f t="shared" si="93"/>
        <v>19.831730769230766</v>
      </c>
      <c r="AK30" s="68">
        <f t="shared" si="93"/>
        <v>18.6875</v>
      </c>
      <c r="AL30" s="68">
        <f t="shared" si="93"/>
        <v>19.995192307692307</v>
      </c>
      <c r="AM30" s="68">
        <f t="shared" si="93"/>
        <v>18.360576923076923</v>
      </c>
      <c r="AN30" s="68">
        <f t="shared" si="93"/>
        <v>21.293269230769234</v>
      </c>
      <c r="AO30" s="68">
        <f t="shared" si="93"/>
        <v>21.1875</v>
      </c>
      <c r="AP30" s="68">
        <f t="shared" si="93"/>
        <v>22.783653846153847</v>
      </c>
      <c r="AQ30" s="68">
        <f t="shared" si="93"/>
        <v>18.53846153846154</v>
      </c>
      <c r="AR30" s="68">
        <f t="shared" si="93"/>
        <v>17.014423076923077</v>
      </c>
      <c r="AS30" s="68">
        <f t="shared" si="93"/>
        <v>18.8125</v>
      </c>
      <c r="AT30" s="68">
        <f t="shared" si="93"/>
        <v>20.716346153846153</v>
      </c>
      <c r="AU30" s="68">
        <f t="shared" si="93"/>
        <v>19.6875</v>
      </c>
      <c r="AV30" s="68">
        <f t="shared" si="93"/>
        <v>20.71153846153846</v>
      </c>
      <c r="AW30" s="68">
        <f t="shared" si="93"/>
        <v>23.495192307692307</v>
      </c>
      <c r="AX30" s="68">
        <f t="shared" si="93"/>
        <v>24.173076923076923</v>
      </c>
      <c r="AY30" s="68">
        <f t="shared" si="93"/>
        <v>17.41346153846154</v>
      </c>
      <c r="AZ30" s="68">
        <f t="shared" si="93"/>
        <v>19.91346153846154</v>
      </c>
      <c r="BA30" s="68">
        <f t="shared" si="93"/>
        <v>20.4375</v>
      </c>
    </row>
    <row r="33" spans="1:55" x14ac:dyDescent="0.2">
      <c r="A33" s="512" t="s">
        <v>235</v>
      </c>
      <c r="B33" s="513"/>
      <c r="C33" s="56"/>
      <c r="D33" s="56"/>
      <c r="E33" s="56"/>
      <c r="F33" s="56"/>
      <c r="G33" s="56"/>
      <c r="H33" s="56"/>
      <c r="I33" s="56"/>
      <c r="J33" s="56"/>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row>
    <row r="34" spans="1:55" x14ac:dyDescent="0.2">
      <c r="A34" s="49">
        <v>1</v>
      </c>
      <c r="B34" s="56" t="s">
        <v>336</v>
      </c>
      <c r="C34" s="256">
        <f t="shared" ref="C34:BA34" si="94">(C40*C42)/1000000000</f>
        <v>485.42370549499435</v>
      </c>
      <c r="D34" s="256">
        <f t="shared" si="94"/>
        <v>6.1067780693081888</v>
      </c>
      <c r="E34" s="256">
        <f t="shared" si="94"/>
        <v>1.1167290439290998</v>
      </c>
      <c r="F34" s="256">
        <f t="shared" si="94"/>
        <v>10.52954077709307</v>
      </c>
      <c r="G34" s="256">
        <f t="shared" si="94"/>
        <v>3.047277062661546</v>
      </c>
      <c r="H34" s="256">
        <f t="shared" si="94"/>
        <v>88.640293120789337</v>
      </c>
      <c r="I34" s="256">
        <f t="shared" si="94"/>
        <v>8.5922539291212363</v>
      </c>
      <c r="J34" s="256">
        <f t="shared" si="94"/>
        <v>6.8176807155551566</v>
      </c>
      <c r="K34" s="256">
        <f t="shared" si="94"/>
        <v>1.2045475565581885</v>
      </c>
      <c r="L34" s="256">
        <f t="shared" si="94"/>
        <v>29.208185982402959</v>
      </c>
      <c r="M34" s="256">
        <f t="shared" si="94"/>
        <v>15.196046739551452</v>
      </c>
      <c r="N34" s="256">
        <f t="shared" si="94"/>
        <v>1.9426087528710745</v>
      </c>
      <c r="O34" s="256">
        <f t="shared" si="94"/>
        <v>2.0872966321796356</v>
      </c>
      <c r="P34" s="256">
        <f t="shared" si="94"/>
        <v>22.863784238676551</v>
      </c>
      <c r="Q34" s="256">
        <f t="shared" si="94"/>
        <v>8.6820950441206275</v>
      </c>
      <c r="R34" s="256">
        <f t="shared" si="94"/>
        <v>3.211079510234653</v>
      </c>
      <c r="S34" s="256">
        <f t="shared" si="94"/>
        <v>3.1860961173332458</v>
      </c>
      <c r="T34" s="256">
        <f t="shared" si="94"/>
        <v>5.4979875082777703</v>
      </c>
      <c r="U34" s="256">
        <f t="shared" si="94"/>
        <v>4.7178508939252151</v>
      </c>
      <c r="V34" s="256">
        <f t="shared" si="94"/>
        <v>1.8805236304645063</v>
      </c>
      <c r="W34" s="256">
        <f t="shared" si="94"/>
        <v>8.8916409758621313</v>
      </c>
      <c r="X34" s="256">
        <f t="shared" si="94"/>
        <v>11.920883880002924</v>
      </c>
      <c r="Y34" s="256">
        <f t="shared" si="94"/>
        <v>16.892854378173688</v>
      </c>
      <c r="Z34" s="256">
        <f t="shared" si="94"/>
        <v>7.7027725814130363</v>
      </c>
      <c r="AA34" s="256">
        <f t="shared" si="94"/>
        <v>3.3314934737683259</v>
      </c>
      <c r="AB34" s="256">
        <f t="shared" si="94"/>
        <v>7.7299370124597102</v>
      </c>
      <c r="AC34" s="256">
        <f t="shared" si="94"/>
        <v>1.2371289441283302</v>
      </c>
      <c r="AD34" s="256">
        <f t="shared" si="94"/>
        <v>1.5375373558901502</v>
      </c>
      <c r="AE34" s="256">
        <f t="shared" si="94"/>
        <v>5.8134422342254046</v>
      </c>
      <c r="AF34" s="256">
        <f t="shared" si="94"/>
        <v>1.6580450234981343</v>
      </c>
      <c r="AG34" s="256">
        <f t="shared" si="94"/>
        <v>16.435169092685637</v>
      </c>
      <c r="AH34" s="256">
        <f t="shared" si="94"/>
        <v>2.4342821741125298</v>
      </c>
      <c r="AI34" s="256">
        <f t="shared" si="94"/>
        <v>31.661663002844602</v>
      </c>
      <c r="AJ34" s="256">
        <f t="shared" si="94"/>
        <v>15.116396825368332</v>
      </c>
      <c r="AK34" s="256">
        <f t="shared" si="94"/>
        <v>0.43363915721176655</v>
      </c>
      <c r="AL34" s="256">
        <f t="shared" si="94"/>
        <v>15.550267346566812</v>
      </c>
      <c r="AM34" s="256">
        <f t="shared" si="94"/>
        <v>3.1907051557794142</v>
      </c>
      <c r="AN34" s="256">
        <f t="shared" si="94"/>
        <v>6.6999581465670692</v>
      </c>
      <c r="AO34" s="256">
        <f t="shared" si="94"/>
        <v>17.218106984645154</v>
      </c>
      <c r="AP34" s="256">
        <f t="shared" si="94"/>
        <v>2.1787528250514665</v>
      </c>
      <c r="AQ34" s="256">
        <f t="shared" si="94"/>
        <v>6.7205858855628362</v>
      </c>
      <c r="AR34" s="256">
        <f t="shared" si="94"/>
        <v>0.64221691072086995</v>
      </c>
      <c r="AS34" s="256">
        <f t="shared" si="94"/>
        <v>8.3115131938066309</v>
      </c>
      <c r="AT34" s="256">
        <f t="shared" si="94"/>
        <v>33.124056012645788</v>
      </c>
      <c r="AU34" s="256">
        <f t="shared" si="94"/>
        <v>3.2384993848228993</v>
      </c>
      <c r="AV34" s="256">
        <f t="shared" si="94"/>
        <v>0.78672239291082147</v>
      </c>
      <c r="AW34" s="256">
        <f t="shared" si="94"/>
        <v>10.663063865759018</v>
      </c>
      <c r="AX34" s="256">
        <f t="shared" si="94"/>
        <v>13.658076740436908</v>
      </c>
      <c r="AY34" s="256">
        <f t="shared" si="94"/>
        <v>1.7577250491767726</v>
      </c>
      <c r="AZ34" s="256">
        <f t="shared" si="94"/>
        <v>7.9315175340670088</v>
      </c>
      <c r="BA34" s="256">
        <f t="shared" si="94"/>
        <v>0.60027433948598208</v>
      </c>
      <c r="BC34" t="s">
        <v>342</v>
      </c>
    </row>
    <row r="35" spans="1:55" x14ac:dyDescent="0.2">
      <c r="A35" s="49">
        <v>2</v>
      </c>
      <c r="B35" s="49" t="s">
        <v>343</v>
      </c>
      <c r="C35" s="252">
        <v>8.9</v>
      </c>
      <c r="D35" s="252">
        <v>8.5</v>
      </c>
      <c r="E35" s="252">
        <v>7.6</v>
      </c>
      <c r="F35" s="252">
        <v>9.4</v>
      </c>
      <c r="G35" s="252">
        <v>8</v>
      </c>
      <c r="H35" s="252">
        <v>11.8</v>
      </c>
      <c r="I35" s="252">
        <v>8.5</v>
      </c>
      <c r="J35" s="252">
        <v>8.9</v>
      </c>
      <c r="K35" s="252">
        <v>7.4</v>
      </c>
      <c r="L35" s="252">
        <v>10.3</v>
      </c>
      <c r="M35" s="252">
        <v>9.9</v>
      </c>
      <c r="N35" s="252">
        <v>6.5</v>
      </c>
      <c r="O35" s="252">
        <v>8.4</v>
      </c>
      <c r="P35" s="252">
        <v>9.6999999999999993</v>
      </c>
      <c r="Q35" s="252">
        <v>8.8000000000000007</v>
      </c>
      <c r="R35" s="252">
        <v>5.8</v>
      </c>
      <c r="S35" s="252">
        <v>6.5</v>
      </c>
      <c r="T35" s="252">
        <v>9.5</v>
      </c>
      <c r="U35" s="252">
        <v>7.2</v>
      </c>
      <c r="V35" s="252">
        <v>7.7</v>
      </c>
      <c r="W35" s="252">
        <v>7.3</v>
      </c>
      <c r="X35" s="252">
        <v>7.3</v>
      </c>
      <c r="Y35" s="252">
        <v>10.4</v>
      </c>
      <c r="Z35" s="252">
        <v>6.5</v>
      </c>
      <c r="AA35" s="252">
        <v>10.6</v>
      </c>
      <c r="AB35" s="252">
        <v>8.5</v>
      </c>
      <c r="AC35" s="252">
        <v>6.5</v>
      </c>
      <c r="AD35" s="252">
        <v>4.5</v>
      </c>
      <c r="AE35" s="252">
        <v>13.2</v>
      </c>
      <c r="AF35" s="252">
        <v>5.5</v>
      </c>
      <c r="AG35" s="252">
        <v>9.3000000000000007</v>
      </c>
      <c r="AH35" s="252">
        <v>7.6</v>
      </c>
      <c r="AI35" s="252">
        <v>8.1999999999999993</v>
      </c>
      <c r="AJ35" s="252">
        <v>10.199999999999999</v>
      </c>
      <c r="AK35" s="252">
        <v>3.4</v>
      </c>
      <c r="AL35" s="252">
        <v>8.6999999999999993</v>
      </c>
      <c r="AM35" s="252">
        <v>5.9</v>
      </c>
      <c r="AN35" s="252">
        <v>9.6999999999999993</v>
      </c>
      <c r="AO35" s="252">
        <v>8</v>
      </c>
      <c r="AP35" s="252">
        <v>11.2</v>
      </c>
      <c r="AQ35" s="252">
        <v>10.3</v>
      </c>
      <c r="AR35" s="252">
        <v>4.7</v>
      </c>
      <c r="AS35" s="252">
        <v>9.3000000000000007</v>
      </c>
      <c r="AT35" s="252">
        <v>7.9</v>
      </c>
      <c r="AU35" s="252">
        <v>6.8</v>
      </c>
      <c r="AV35" s="252">
        <v>5.6</v>
      </c>
      <c r="AW35" s="252">
        <v>6.4</v>
      </c>
      <c r="AX35" s="252">
        <v>9.1999999999999993</v>
      </c>
      <c r="AY35" s="252">
        <v>7.8</v>
      </c>
      <c r="AZ35" s="252">
        <v>7.5</v>
      </c>
      <c r="BA35" s="252">
        <v>6.1</v>
      </c>
      <c r="BC35" t="s">
        <v>344</v>
      </c>
    </row>
    <row r="36" spans="1:55" x14ac:dyDescent="0.2">
      <c r="A36" s="49">
        <v>3</v>
      </c>
      <c r="B36" s="49" t="s">
        <v>345</v>
      </c>
      <c r="C36" s="252">
        <v>15.9</v>
      </c>
      <c r="D36" s="252">
        <v>16.2</v>
      </c>
      <c r="E36" s="252">
        <v>13.5</v>
      </c>
      <c r="F36" s="252">
        <v>18</v>
      </c>
      <c r="G36" s="252">
        <v>14.1</v>
      </c>
      <c r="H36" s="252">
        <v>21.1</v>
      </c>
      <c r="I36" s="252">
        <v>15.1</v>
      </c>
      <c r="J36" s="252">
        <v>15.4</v>
      </c>
      <c r="K36" s="252">
        <v>13.2</v>
      </c>
      <c r="L36" s="252">
        <v>17.600000000000001</v>
      </c>
      <c r="M36" s="252">
        <v>17.100000000000001</v>
      </c>
      <c r="N36" s="252">
        <v>15.1</v>
      </c>
      <c r="O36" s="252">
        <v>16.100000000000001</v>
      </c>
      <c r="P36" s="252">
        <v>17</v>
      </c>
      <c r="Q36" s="252">
        <v>15.7</v>
      </c>
      <c r="R36" s="252">
        <v>11.3</v>
      </c>
      <c r="S36" s="252">
        <v>12.1</v>
      </c>
      <c r="T36" s="252">
        <v>15.6</v>
      </c>
      <c r="U36" s="252">
        <v>13.4</v>
      </c>
      <c r="V36" s="252">
        <v>15.1</v>
      </c>
      <c r="W36" s="252">
        <v>12.6</v>
      </c>
      <c r="X36" s="252">
        <v>14.3</v>
      </c>
      <c r="Y36" s="252">
        <v>18.8</v>
      </c>
      <c r="Z36" s="252">
        <v>12.8</v>
      </c>
      <c r="AA36" s="252">
        <v>16.399999999999999</v>
      </c>
      <c r="AB36" s="252">
        <v>14.4</v>
      </c>
      <c r="AC36" s="252">
        <v>15.3</v>
      </c>
      <c r="AD36" s="252">
        <v>8.9</v>
      </c>
      <c r="AE36" s="252">
        <v>22.7</v>
      </c>
      <c r="AF36" s="252">
        <v>11.3</v>
      </c>
      <c r="AG36" s="252">
        <v>16</v>
      </c>
      <c r="AH36" s="252">
        <v>14.7</v>
      </c>
      <c r="AI36" s="252">
        <v>14.3</v>
      </c>
      <c r="AJ36" s="252">
        <v>17.899999999999999</v>
      </c>
      <c r="AK36" s="252">
        <v>6.6</v>
      </c>
      <c r="AL36" s="252">
        <v>14.7</v>
      </c>
      <c r="AM36" s="252">
        <v>10.7</v>
      </c>
      <c r="AN36" s="252">
        <v>17.5</v>
      </c>
      <c r="AO36" s="252">
        <v>13.9</v>
      </c>
      <c r="AP36" s="252">
        <v>18.600000000000001</v>
      </c>
      <c r="AQ36" s="252">
        <v>18.2</v>
      </c>
      <c r="AR36" s="252">
        <v>9.3000000000000007</v>
      </c>
      <c r="AS36" s="252">
        <v>15.5</v>
      </c>
      <c r="AT36" s="252">
        <v>14</v>
      </c>
      <c r="AU36" s="252">
        <v>13.3</v>
      </c>
      <c r="AV36" s="252">
        <v>11.6</v>
      </c>
      <c r="AW36" s="252">
        <v>11.8</v>
      </c>
      <c r="AX36" s="252">
        <v>17.8</v>
      </c>
      <c r="AY36" s="252">
        <v>13.7</v>
      </c>
      <c r="AZ36" s="252">
        <v>14.2</v>
      </c>
      <c r="BA36" s="252">
        <v>10.6</v>
      </c>
      <c r="BC36" s="54" t="s">
        <v>346</v>
      </c>
    </row>
    <row r="37" spans="1:55" x14ac:dyDescent="0.2">
      <c r="A37" s="49">
        <v>4</v>
      </c>
      <c r="B37" s="49" t="s">
        <v>347</v>
      </c>
      <c r="C37" s="253">
        <v>153617000</v>
      </c>
      <c r="D37" s="253">
        <v>2189650</v>
      </c>
      <c r="E37" s="253">
        <v>364914</v>
      </c>
      <c r="F37" s="253">
        <v>3048567</v>
      </c>
      <c r="G37" s="253">
        <v>1353474</v>
      </c>
      <c r="H37" s="253">
        <v>18417883</v>
      </c>
      <c r="I37" s="253">
        <v>2725757</v>
      </c>
      <c r="J37" s="253">
        <v>1907117</v>
      </c>
      <c r="K37" s="253">
        <v>437956</v>
      </c>
      <c r="L37" s="253">
        <v>9268433</v>
      </c>
      <c r="M37" s="253">
        <v>4748636</v>
      </c>
      <c r="N37" s="253">
        <v>656471</v>
      </c>
      <c r="O37" s="253">
        <v>765974</v>
      </c>
      <c r="P37" s="253">
        <v>6575390</v>
      </c>
      <c r="Q37" s="253">
        <v>3170125</v>
      </c>
      <c r="R37" s="253">
        <v>1665939</v>
      </c>
      <c r="S37" s="253">
        <v>1497028</v>
      </c>
      <c r="T37" s="253">
        <v>2075793</v>
      </c>
      <c r="U37" s="253">
        <v>2066206</v>
      </c>
      <c r="V37" s="253">
        <v>705222</v>
      </c>
      <c r="W37" s="253">
        <v>3096855</v>
      </c>
      <c r="X37" s="253">
        <v>3465849</v>
      </c>
      <c r="Y37" s="253">
        <v>4679568</v>
      </c>
      <c r="Z37" s="253">
        <v>2967614</v>
      </c>
      <c r="AA37" s="253">
        <v>1329635</v>
      </c>
      <c r="AB37" s="253">
        <v>3016480</v>
      </c>
      <c r="AC37" s="253">
        <v>499512</v>
      </c>
      <c r="AD37" s="253">
        <v>1004516</v>
      </c>
      <c r="AE37" s="253">
        <v>1392356</v>
      </c>
      <c r="AF37" s="253">
        <v>738464</v>
      </c>
      <c r="AG37" s="253">
        <v>4535778</v>
      </c>
      <c r="AH37" s="253">
        <v>923936</v>
      </c>
      <c r="AI37" s="253">
        <v>9541651</v>
      </c>
      <c r="AJ37" s="253">
        <v>4659221</v>
      </c>
      <c r="AK37" s="253">
        <v>384691</v>
      </c>
      <c r="AL37" s="253">
        <v>5788601</v>
      </c>
      <c r="AM37" s="253">
        <v>1777032</v>
      </c>
      <c r="AN37" s="253">
        <v>1967299</v>
      </c>
      <c r="AO37" s="253">
        <v>6396900</v>
      </c>
      <c r="AP37" s="253">
        <v>562536</v>
      </c>
      <c r="AQ37" s="253">
        <v>2179419</v>
      </c>
      <c r="AR37" s="253">
        <v>444079</v>
      </c>
      <c r="AS37" s="253">
        <v>3118750</v>
      </c>
      <c r="AT37" s="253">
        <v>12496287</v>
      </c>
      <c r="AU37" s="253">
        <v>1353257</v>
      </c>
      <c r="AV37" s="253">
        <v>358286</v>
      </c>
      <c r="AW37" s="253">
        <v>4208232</v>
      </c>
      <c r="AX37" s="253">
        <v>3473092</v>
      </c>
      <c r="AY37" s="253">
        <v>806165</v>
      </c>
      <c r="AZ37" s="253">
        <v>3069021</v>
      </c>
      <c r="BA37" s="253">
        <v>303176</v>
      </c>
      <c r="BC37" t="s">
        <v>344</v>
      </c>
    </row>
    <row r="38" spans="1:55" x14ac:dyDescent="0.2">
      <c r="A38" s="49">
        <v>5</v>
      </c>
      <c r="B38" s="50" t="s">
        <v>348</v>
      </c>
      <c r="C38" s="50">
        <f t="shared" ref="C38:BA38" si="95">C37*C36/100</f>
        <v>24425103</v>
      </c>
      <c r="D38" s="50">
        <f t="shared" si="95"/>
        <v>354723.3</v>
      </c>
      <c r="E38" s="50">
        <f t="shared" si="95"/>
        <v>49263.39</v>
      </c>
      <c r="F38" s="50">
        <f t="shared" si="95"/>
        <v>548742.06000000006</v>
      </c>
      <c r="G38" s="50">
        <f t="shared" si="95"/>
        <v>190839.83399999997</v>
      </c>
      <c r="H38" s="50">
        <f t="shared" si="95"/>
        <v>3886173.3130000001</v>
      </c>
      <c r="I38" s="50">
        <f t="shared" si="95"/>
        <v>411589.30699999997</v>
      </c>
      <c r="J38" s="50">
        <f t="shared" si="95"/>
        <v>293696.01799999998</v>
      </c>
      <c r="K38" s="50">
        <f t="shared" si="95"/>
        <v>57810.191999999995</v>
      </c>
      <c r="L38" s="50">
        <f t="shared" si="95"/>
        <v>1631244.2080000001</v>
      </c>
      <c r="M38" s="50">
        <f t="shared" si="95"/>
        <v>812016.75600000005</v>
      </c>
      <c r="N38" s="50">
        <f t="shared" si="95"/>
        <v>99127.120999999999</v>
      </c>
      <c r="O38" s="50">
        <f t="shared" si="95"/>
        <v>123321.814</v>
      </c>
      <c r="P38" s="50">
        <f t="shared" si="95"/>
        <v>1117816.3</v>
      </c>
      <c r="Q38" s="50">
        <f t="shared" si="95"/>
        <v>497709.625</v>
      </c>
      <c r="R38" s="50">
        <f t="shared" si="95"/>
        <v>188251.10700000002</v>
      </c>
      <c r="S38" s="50">
        <f t="shared" si="95"/>
        <v>181140.38800000001</v>
      </c>
      <c r="T38" s="50">
        <f t="shared" si="95"/>
        <v>323823.70799999998</v>
      </c>
      <c r="U38" s="50">
        <f t="shared" si="95"/>
        <v>276871.60400000005</v>
      </c>
      <c r="V38" s="50">
        <f t="shared" si="95"/>
        <v>106488.522</v>
      </c>
      <c r="W38" s="50">
        <f t="shared" si="95"/>
        <v>390203.73</v>
      </c>
      <c r="X38" s="50">
        <f t="shared" si="95"/>
        <v>495616.40700000001</v>
      </c>
      <c r="Y38" s="50">
        <f t="shared" si="95"/>
        <v>879758.7840000001</v>
      </c>
      <c r="Z38" s="50">
        <f t="shared" si="95"/>
        <v>379854.592</v>
      </c>
      <c r="AA38" s="50">
        <f t="shared" si="95"/>
        <v>218060.13999999996</v>
      </c>
      <c r="AB38" s="50">
        <f t="shared" si="95"/>
        <v>434373.12</v>
      </c>
      <c r="AC38" s="50">
        <f t="shared" si="95"/>
        <v>76425.33600000001</v>
      </c>
      <c r="AD38" s="50">
        <f t="shared" si="95"/>
        <v>89401.923999999999</v>
      </c>
      <c r="AE38" s="50">
        <f t="shared" si="95"/>
        <v>316064.81199999998</v>
      </c>
      <c r="AF38" s="50">
        <f t="shared" si="95"/>
        <v>83446.432000000001</v>
      </c>
      <c r="AG38" s="50">
        <f t="shared" si="95"/>
        <v>725724.48</v>
      </c>
      <c r="AH38" s="50">
        <f t="shared" si="95"/>
        <v>135818.592</v>
      </c>
      <c r="AI38" s="50">
        <f t="shared" si="95"/>
        <v>1364456.0930000001</v>
      </c>
      <c r="AJ38" s="50">
        <f t="shared" si="95"/>
        <v>834000.55899999989</v>
      </c>
      <c r="AK38" s="50">
        <f t="shared" si="95"/>
        <v>25389.606</v>
      </c>
      <c r="AL38" s="50">
        <f t="shared" si="95"/>
        <v>850924.34700000007</v>
      </c>
      <c r="AM38" s="50">
        <f t="shared" si="95"/>
        <v>190142.424</v>
      </c>
      <c r="AN38" s="50">
        <f t="shared" si="95"/>
        <v>344277.32500000001</v>
      </c>
      <c r="AO38" s="50">
        <f t="shared" si="95"/>
        <v>889169.1</v>
      </c>
      <c r="AP38" s="50">
        <f t="shared" si="95"/>
        <v>104631.69600000001</v>
      </c>
      <c r="AQ38" s="50">
        <f t="shared" si="95"/>
        <v>396654.25799999997</v>
      </c>
      <c r="AR38" s="50">
        <f t="shared" si="95"/>
        <v>41299.347000000002</v>
      </c>
      <c r="AS38" s="50">
        <f t="shared" si="95"/>
        <v>483406.25</v>
      </c>
      <c r="AT38" s="50">
        <f t="shared" si="95"/>
        <v>1749480.18</v>
      </c>
      <c r="AU38" s="50">
        <f t="shared" si="95"/>
        <v>179983.18100000001</v>
      </c>
      <c r="AV38" s="50">
        <f t="shared" si="95"/>
        <v>41561.175999999999</v>
      </c>
      <c r="AW38" s="50">
        <f t="shared" si="95"/>
        <v>496571.37599999999</v>
      </c>
      <c r="AX38" s="50">
        <f t="shared" si="95"/>
        <v>618210.37600000005</v>
      </c>
      <c r="AY38" s="50">
        <f t="shared" si="95"/>
        <v>110444.605</v>
      </c>
      <c r="AZ38" s="50">
        <f t="shared" si="95"/>
        <v>435800.98199999996</v>
      </c>
      <c r="BA38" s="50">
        <f t="shared" si="95"/>
        <v>32136.656000000003</v>
      </c>
      <c r="BC38" s="52" t="s">
        <v>349</v>
      </c>
    </row>
    <row r="39" spans="1:55" x14ac:dyDescent="0.2">
      <c r="A39" s="49">
        <v>6</v>
      </c>
      <c r="B39" s="56" t="s">
        <v>350</v>
      </c>
      <c r="C39" s="254">
        <f t="shared" ref="C39:BA39" si="96">(803*(1.0059^22))</f>
        <v>913.94765852119963</v>
      </c>
      <c r="D39" s="254">
        <f t="shared" si="96"/>
        <v>913.94765852119963</v>
      </c>
      <c r="E39" s="254">
        <f t="shared" si="96"/>
        <v>913.94765852119963</v>
      </c>
      <c r="F39" s="254">
        <f t="shared" si="96"/>
        <v>913.94765852119963</v>
      </c>
      <c r="G39" s="254">
        <f t="shared" si="96"/>
        <v>913.94765852119963</v>
      </c>
      <c r="H39" s="254">
        <f t="shared" si="96"/>
        <v>913.94765852119963</v>
      </c>
      <c r="I39" s="254">
        <f t="shared" si="96"/>
        <v>913.94765852119963</v>
      </c>
      <c r="J39" s="254">
        <f t="shared" si="96"/>
        <v>913.94765852119963</v>
      </c>
      <c r="K39" s="254">
        <f t="shared" si="96"/>
        <v>913.94765852119963</v>
      </c>
      <c r="L39" s="254">
        <f t="shared" si="96"/>
        <v>913.94765852119963</v>
      </c>
      <c r="M39" s="254">
        <f t="shared" si="96"/>
        <v>913.94765852119963</v>
      </c>
      <c r="N39" s="254">
        <f t="shared" si="96"/>
        <v>913.94765852119963</v>
      </c>
      <c r="O39" s="254">
        <f t="shared" si="96"/>
        <v>913.94765852119963</v>
      </c>
      <c r="P39" s="254">
        <f t="shared" si="96"/>
        <v>913.94765852119963</v>
      </c>
      <c r="Q39" s="254">
        <f t="shared" si="96"/>
        <v>913.94765852119963</v>
      </c>
      <c r="R39" s="254">
        <f t="shared" si="96"/>
        <v>913.94765852119963</v>
      </c>
      <c r="S39" s="254">
        <f t="shared" si="96"/>
        <v>913.94765852119963</v>
      </c>
      <c r="T39" s="254">
        <f t="shared" si="96"/>
        <v>913.94765852119963</v>
      </c>
      <c r="U39" s="254">
        <f t="shared" si="96"/>
        <v>913.94765852119963</v>
      </c>
      <c r="V39" s="254">
        <f t="shared" si="96"/>
        <v>913.94765852119963</v>
      </c>
      <c r="W39" s="254">
        <f t="shared" si="96"/>
        <v>913.94765852119963</v>
      </c>
      <c r="X39" s="254">
        <f t="shared" si="96"/>
        <v>913.94765852119963</v>
      </c>
      <c r="Y39" s="254">
        <f t="shared" si="96"/>
        <v>913.94765852119963</v>
      </c>
      <c r="Z39" s="254">
        <f t="shared" si="96"/>
        <v>913.94765852119963</v>
      </c>
      <c r="AA39" s="254">
        <f t="shared" si="96"/>
        <v>913.94765852119963</v>
      </c>
      <c r="AB39" s="254">
        <f t="shared" si="96"/>
        <v>913.94765852119963</v>
      </c>
      <c r="AC39" s="254">
        <f t="shared" si="96"/>
        <v>913.94765852119963</v>
      </c>
      <c r="AD39" s="254">
        <f t="shared" si="96"/>
        <v>913.94765852119963</v>
      </c>
      <c r="AE39" s="254">
        <f t="shared" si="96"/>
        <v>913.94765852119963</v>
      </c>
      <c r="AF39" s="254">
        <f t="shared" si="96"/>
        <v>913.94765852119963</v>
      </c>
      <c r="AG39" s="254">
        <f t="shared" si="96"/>
        <v>913.94765852119963</v>
      </c>
      <c r="AH39" s="254">
        <f t="shared" si="96"/>
        <v>913.94765852119963</v>
      </c>
      <c r="AI39" s="254">
        <f t="shared" si="96"/>
        <v>913.94765852119963</v>
      </c>
      <c r="AJ39" s="254">
        <f t="shared" si="96"/>
        <v>913.94765852119963</v>
      </c>
      <c r="AK39" s="254">
        <f t="shared" si="96"/>
        <v>913.94765852119963</v>
      </c>
      <c r="AL39" s="254">
        <f t="shared" si="96"/>
        <v>913.94765852119963</v>
      </c>
      <c r="AM39" s="254">
        <f t="shared" si="96"/>
        <v>913.94765852119963</v>
      </c>
      <c r="AN39" s="254">
        <f t="shared" si="96"/>
        <v>913.94765852119963</v>
      </c>
      <c r="AO39" s="254">
        <f t="shared" si="96"/>
        <v>913.94765852119963</v>
      </c>
      <c r="AP39" s="254">
        <f t="shared" si="96"/>
        <v>913.94765852119963</v>
      </c>
      <c r="AQ39" s="254">
        <f t="shared" si="96"/>
        <v>913.94765852119963</v>
      </c>
      <c r="AR39" s="254">
        <f t="shared" si="96"/>
        <v>913.94765852119963</v>
      </c>
      <c r="AS39" s="254">
        <f t="shared" si="96"/>
        <v>913.94765852119963</v>
      </c>
      <c r="AT39" s="254">
        <f t="shared" si="96"/>
        <v>913.94765852119963</v>
      </c>
      <c r="AU39" s="254">
        <f t="shared" si="96"/>
        <v>913.94765852119963</v>
      </c>
      <c r="AV39" s="254">
        <f t="shared" si="96"/>
        <v>913.94765852119963</v>
      </c>
      <c r="AW39" s="254">
        <f t="shared" si="96"/>
        <v>913.94765852119963</v>
      </c>
      <c r="AX39" s="254">
        <f t="shared" si="96"/>
        <v>913.94765852119963</v>
      </c>
      <c r="AY39" s="254">
        <f t="shared" si="96"/>
        <v>913.94765852119963</v>
      </c>
      <c r="AZ39" s="254">
        <f t="shared" si="96"/>
        <v>913.94765852119963</v>
      </c>
      <c r="BA39" s="254">
        <f t="shared" si="96"/>
        <v>913.94765852119963</v>
      </c>
      <c r="BC39" s="54" t="s">
        <v>351</v>
      </c>
    </row>
    <row r="40" spans="1:55" x14ac:dyDescent="0.2">
      <c r="A40" s="49">
        <v>7</v>
      </c>
      <c r="B40" s="50" t="s">
        <v>352</v>
      </c>
      <c r="C40" s="50">
        <f t="shared" ref="C40:BA40" si="97">C39*C38</f>
        <v>22323265695.989128</v>
      </c>
      <c r="D40" s="50">
        <f t="shared" si="97"/>
        <v>324198529.45791304</v>
      </c>
      <c r="E40" s="50">
        <f t="shared" si="97"/>
        <v>45024159.941316679</v>
      </c>
      <c r="F40" s="50">
        <f t="shared" si="97"/>
        <v>501521520.86909968</v>
      </c>
      <c r="G40" s="50">
        <f t="shared" si="97"/>
        <v>174417619.43687439</v>
      </c>
      <c r="H40" s="50">
        <f t="shared" si="97"/>
        <v>3551759000.0239229</v>
      </c>
      <c r="I40" s="50">
        <f t="shared" si="97"/>
        <v>376171083.40501314</v>
      </c>
      <c r="J40" s="50">
        <f t="shared" si="97"/>
        <v>268422787.96810007</v>
      </c>
      <c r="K40" s="50">
        <f t="shared" si="97"/>
        <v>52835489.617060982</v>
      </c>
      <c r="L40" s="50">
        <f t="shared" si="97"/>
        <v>1490871824.3778689</v>
      </c>
      <c r="M40" s="50">
        <f t="shared" si="97"/>
        <v>742140812.82618034</v>
      </c>
      <c r="N40" s="50">
        <f t="shared" si="97"/>
        <v>90597000.133897632</v>
      </c>
      <c r="O40" s="50">
        <f t="shared" si="97"/>
        <v>112709683.14988689</v>
      </c>
      <c r="P40" s="50">
        <f t="shared" si="97"/>
        <v>1021625590.0418309</v>
      </c>
      <c r="Q40" s="50">
        <f t="shared" si="97"/>
        <v>454880546.3922143</v>
      </c>
      <c r="R40" s="50">
        <f t="shared" si="97"/>
        <v>172051658.45667383</v>
      </c>
      <c r="S40" s="50">
        <f t="shared" si="97"/>
        <v>165552833.47622162</v>
      </c>
      <c r="T40" s="50">
        <f t="shared" si="97"/>
        <v>295957919.70025265</v>
      </c>
      <c r="U40" s="50">
        <f t="shared" si="97"/>
        <v>253046154.18680885</v>
      </c>
      <c r="V40" s="50">
        <f t="shared" si="97"/>
        <v>97324935.341283247</v>
      </c>
      <c r="W40" s="50">
        <f t="shared" si="97"/>
        <v>356625785.37973839</v>
      </c>
      <c r="X40" s="50">
        <f t="shared" si="97"/>
        <v>452967454.70233989</v>
      </c>
      <c r="Y40" s="50">
        <f t="shared" si="97"/>
        <v>804053480.7002579</v>
      </c>
      <c r="Z40" s="50">
        <f t="shared" si="97"/>
        <v>347167214.93692559</v>
      </c>
      <c r="AA40" s="50">
        <f t="shared" si="97"/>
        <v>199295554.36980495</v>
      </c>
      <c r="AB40" s="50">
        <f t="shared" si="97"/>
        <v>396994295.94854808</v>
      </c>
      <c r="AC40" s="50">
        <f t="shared" si="97"/>
        <v>69848756.888895959</v>
      </c>
      <c r="AD40" s="50">
        <f t="shared" si="97"/>
        <v>81708679.107090235</v>
      </c>
      <c r="AE40" s="50">
        <f t="shared" si="97"/>
        <v>288866694.86834311</v>
      </c>
      <c r="AF40" s="50">
        <f t="shared" si="97"/>
        <v>76265671.138348505</v>
      </c>
      <c r="AG40" s="50">
        <f t="shared" si="97"/>
        <v>663274189.2275151</v>
      </c>
      <c r="AH40" s="50">
        <f t="shared" si="97"/>
        <v>124131084.14204614</v>
      </c>
      <c r="AI40" s="50">
        <f t="shared" si="97"/>
        <v>1247041451.3523343</v>
      </c>
      <c r="AJ40" s="50">
        <f t="shared" si="97"/>
        <v>762232858.10342145</v>
      </c>
      <c r="AK40" s="50">
        <f t="shared" si="97"/>
        <v>23204770.954475801</v>
      </c>
      <c r="AL40" s="50">
        <f t="shared" si="97"/>
        <v>777700314.51933086</v>
      </c>
      <c r="AM40" s="50">
        <f t="shared" si="97"/>
        <v>173780223.20034516</v>
      </c>
      <c r="AN40" s="50">
        <f t="shared" si="97"/>
        <v>314651455.06569207</v>
      </c>
      <c r="AO40" s="50">
        <f t="shared" si="97"/>
        <v>812654016.97440243</v>
      </c>
      <c r="AP40" s="50">
        <f t="shared" si="97"/>
        <v>95627893.566301972</v>
      </c>
      <c r="AQ40" s="50">
        <f t="shared" si="97"/>
        <v>362521230.34156376</v>
      </c>
      <c r="AR40" s="50">
        <f t="shared" si="97"/>
        <v>37745441.489104532</v>
      </c>
      <c r="AS40" s="50">
        <f t="shared" si="97"/>
        <v>441808010.30201364</v>
      </c>
      <c r="AT40" s="50">
        <f t="shared" si="97"/>
        <v>1598933314.1402469</v>
      </c>
      <c r="AU40" s="50">
        <f t="shared" si="97"/>
        <v>164495206.84814727</v>
      </c>
      <c r="AV40" s="50">
        <f t="shared" si="97"/>
        <v>37984739.49058748</v>
      </c>
      <c r="AW40" s="50">
        <f t="shared" si="97"/>
        <v>453840246.38385022</v>
      </c>
      <c r="AX40" s="50">
        <f t="shared" si="97"/>
        <v>565011925.61871052</v>
      </c>
      <c r="AY40" s="50">
        <f t="shared" si="97"/>
        <v>100940588.13604878</v>
      </c>
      <c r="AZ40" s="50">
        <f t="shared" si="97"/>
        <v>398299287.08013946</v>
      </c>
      <c r="BA40" s="50">
        <f t="shared" si="97"/>
        <v>29371221.503901262</v>
      </c>
      <c r="BC40" t="s">
        <v>353</v>
      </c>
    </row>
    <row r="41" spans="1:55" x14ac:dyDescent="0.2">
      <c r="A41" s="49">
        <v>8</v>
      </c>
      <c r="B41" s="50" t="s">
        <v>354</v>
      </c>
      <c r="C41" s="418">
        <v>45230</v>
      </c>
      <c r="D41" s="418">
        <v>39180</v>
      </c>
      <c r="E41" s="418">
        <v>51590</v>
      </c>
      <c r="F41" s="418">
        <v>43670</v>
      </c>
      <c r="G41" s="418">
        <v>36340</v>
      </c>
      <c r="H41" s="418">
        <v>51910</v>
      </c>
      <c r="I41" s="418">
        <v>47510</v>
      </c>
      <c r="J41" s="418">
        <v>52830</v>
      </c>
      <c r="K41" s="418">
        <v>47420</v>
      </c>
      <c r="L41" s="418">
        <v>40750</v>
      </c>
      <c r="M41" s="418">
        <v>42590</v>
      </c>
      <c r="N41" s="418">
        <v>44600</v>
      </c>
      <c r="O41" s="418">
        <v>38520</v>
      </c>
      <c r="P41" s="418">
        <v>46550</v>
      </c>
      <c r="Q41" s="418">
        <v>39700</v>
      </c>
      <c r="R41" s="418">
        <v>38820</v>
      </c>
      <c r="S41" s="418">
        <v>40030</v>
      </c>
      <c r="T41" s="418">
        <v>38640</v>
      </c>
      <c r="U41" s="418">
        <v>38780</v>
      </c>
      <c r="V41" s="418">
        <v>40190</v>
      </c>
      <c r="W41" s="418">
        <v>51860</v>
      </c>
      <c r="X41" s="418">
        <v>54740</v>
      </c>
      <c r="Y41" s="418">
        <v>43700</v>
      </c>
      <c r="Z41" s="418">
        <v>46150</v>
      </c>
      <c r="AA41" s="418">
        <v>34770</v>
      </c>
      <c r="AB41" s="418">
        <v>40500</v>
      </c>
      <c r="AC41" s="418">
        <v>36840</v>
      </c>
      <c r="AD41" s="418">
        <v>39140</v>
      </c>
      <c r="AE41" s="418">
        <v>41860</v>
      </c>
      <c r="AF41" s="418">
        <v>45220</v>
      </c>
      <c r="AG41" s="418">
        <v>51540</v>
      </c>
      <c r="AH41" s="418">
        <v>40790</v>
      </c>
      <c r="AI41" s="418">
        <v>52810</v>
      </c>
      <c r="AJ41" s="418">
        <v>41250</v>
      </c>
      <c r="AK41" s="418">
        <v>38870</v>
      </c>
      <c r="AL41" s="418">
        <v>41590</v>
      </c>
      <c r="AM41" s="418">
        <v>38190</v>
      </c>
      <c r="AN41" s="418">
        <v>44290</v>
      </c>
      <c r="AO41" s="418">
        <v>44070</v>
      </c>
      <c r="AP41" s="418">
        <v>47390</v>
      </c>
      <c r="AQ41" s="418">
        <v>38560</v>
      </c>
      <c r="AR41" s="418">
        <v>35390</v>
      </c>
      <c r="AS41" s="418">
        <v>39130</v>
      </c>
      <c r="AT41" s="418">
        <v>43090</v>
      </c>
      <c r="AU41" s="418">
        <v>40950</v>
      </c>
      <c r="AV41" s="418">
        <v>43080</v>
      </c>
      <c r="AW41" s="418">
        <v>48870</v>
      </c>
      <c r="AX41" s="418">
        <v>50280</v>
      </c>
      <c r="AY41" s="418">
        <v>36220</v>
      </c>
      <c r="AZ41" s="418">
        <v>41420</v>
      </c>
      <c r="BA41" s="418">
        <v>42510</v>
      </c>
      <c r="BC41" s="54" t="s">
        <v>355</v>
      </c>
    </row>
    <row r="42" spans="1:55" x14ac:dyDescent="0.2">
      <c r="A42" s="49">
        <v>9</v>
      </c>
      <c r="B42" s="49" t="s">
        <v>629</v>
      </c>
      <c r="C42" s="255">
        <f t="shared" ref="C42:AG42" si="98">AverageWageRate</f>
        <v>21.745192307692307</v>
      </c>
      <c r="D42" s="255">
        <f t="shared" si="98"/>
        <v>18.83653846153846</v>
      </c>
      <c r="E42" s="255">
        <f t="shared" si="98"/>
        <v>24.802884615384617</v>
      </c>
      <c r="F42" s="255">
        <f t="shared" si="98"/>
        <v>20.995192307692307</v>
      </c>
      <c r="G42" s="255">
        <f t="shared" si="98"/>
        <v>17.471153846153847</v>
      </c>
      <c r="H42" s="255">
        <f t="shared" si="98"/>
        <v>24.956730769230766</v>
      </c>
      <c r="I42" s="255">
        <f t="shared" si="98"/>
        <v>22.841346153846153</v>
      </c>
      <c r="J42" s="255">
        <f t="shared" si="98"/>
        <v>25.39903846153846</v>
      </c>
      <c r="K42" s="255">
        <f t="shared" si="98"/>
        <v>22.798076923076923</v>
      </c>
      <c r="L42" s="255">
        <f t="shared" si="98"/>
        <v>19.591346153846153</v>
      </c>
      <c r="M42" s="255">
        <f t="shared" si="98"/>
        <v>20.47596153846154</v>
      </c>
      <c r="N42" s="255">
        <f t="shared" si="98"/>
        <v>21.442307692307693</v>
      </c>
      <c r="O42" s="255">
        <f t="shared" si="98"/>
        <v>18.519230769230766</v>
      </c>
      <c r="P42" s="255">
        <f t="shared" si="98"/>
        <v>22.379807692307693</v>
      </c>
      <c r="Q42" s="255">
        <f t="shared" si="98"/>
        <v>19.08653846153846</v>
      </c>
      <c r="R42" s="255">
        <f t="shared" si="98"/>
        <v>18.66346153846154</v>
      </c>
      <c r="S42" s="255">
        <f t="shared" si="98"/>
        <v>19.245192307692307</v>
      </c>
      <c r="T42" s="255">
        <f t="shared" si="98"/>
        <v>18.576923076923077</v>
      </c>
      <c r="U42" s="255">
        <f t="shared" si="98"/>
        <v>18.644230769230766</v>
      </c>
      <c r="V42" s="255">
        <f t="shared" si="98"/>
        <v>19.322115384615383</v>
      </c>
      <c r="W42" s="255">
        <f t="shared" si="98"/>
        <v>24.932692307692307</v>
      </c>
      <c r="X42" s="255">
        <f t="shared" si="98"/>
        <v>26.31730769230769</v>
      </c>
      <c r="Y42" s="255">
        <f t="shared" si="98"/>
        <v>21.009615384615383</v>
      </c>
      <c r="Z42" s="255">
        <f t="shared" si="98"/>
        <v>22.1875</v>
      </c>
      <c r="AA42" s="255">
        <f t="shared" si="98"/>
        <v>16.716346153846153</v>
      </c>
      <c r="AB42" s="255">
        <f t="shared" si="98"/>
        <v>19.471153846153847</v>
      </c>
      <c r="AC42" s="255">
        <f t="shared" si="98"/>
        <v>17.71153846153846</v>
      </c>
      <c r="AD42" s="255">
        <f t="shared" si="98"/>
        <v>18.817307692307693</v>
      </c>
      <c r="AE42" s="255">
        <f t="shared" si="98"/>
        <v>20.125</v>
      </c>
      <c r="AF42" s="255">
        <f t="shared" si="98"/>
        <v>21.740384615384617</v>
      </c>
      <c r="AG42" s="255">
        <f t="shared" si="98"/>
        <v>24.778846153846153</v>
      </c>
      <c r="AH42" s="255">
        <f t="shared" ref="AH42:BA42" si="99">AverageWageRate</f>
        <v>19.610576923076923</v>
      </c>
      <c r="AI42" s="255">
        <f t="shared" si="99"/>
        <v>25.389423076923077</v>
      </c>
      <c r="AJ42" s="255">
        <f t="shared" si="99"/>
        <v>19.831730769230766</v>
      </c>
      <c r="AK42" s="255">
        <f t="shared" si="99"/>
        <v>18.6875</v>
      </c>
      <c r="AL42" s="255">
        <f t="shared" si="99"/>
        <v>19.995192307692307</v>
      </c>
      <c r="AM42" s="255">
        <f t="shared" si="99"/>
        <v>18.360576923076923</v>
      </c>
      <c r="AN42" s="255">
        <f t="shared" si="99"/>
        <v>21.293269230769234</v>
      </c>
      <c r="AO42" s="255">
        <f t="shared" si="99"/>
        <v>21.1875</v>
      </c>
      <c r="AP42" s="255">
        <f t="shared" si="99"/>
        <v>22.783653846153847</v>
      </c>
      <c r="AQ42" s="255">
        <f t="shared" si="99"/>
        <v>18.53846153846154</v>
      </c>
      <c r="AR42" s="255">
        <f t="shared" si="99"/>
        <v>17.014423076923077</v>
      </c>
      <c r="AS42" s="255">
        <f t="shared" si="99"/>
        <v>18.8125</v>
      </c>
      <c r="AT42" s="255">
        <f t="shared" si="99"/>
        <v>20.716346153846153</v>
      </c>
      <c r="AU42" s="255">
        <f t="shared" si="99"/>
        <v>19.6875</v>
      </c>
      <c r="AV42" s="255">
        <f t="shared" si="99"/>
        <v>20.71153846153846</v>
      </c>
      <c r="AW42" s="255">
        <f t="shared" si="99"/>
        <v>23.495192307692307</v>
      </c>
      <c r="AX42" s="255">
        <f t="shared" si="99"/>
        <v>24.173076923076923</v>
      </c>
      <c r="AY42" s="255">
        <f t="shared" si="99"/>
        <v>17.41346153846154</v>
      </c>
      <c r="AZ42" s="255">
        <f t="shared" si="99"/>
        <v>19.91346153846154</v>
      </c>
      <c r="BA42" s="255">
        <f t="shared" si="99"/>
        <v>20.4375</v>
      </c>
      <c r="BC42" t="s">
        <v>268</v>
      </c>
    </row>
    <row r="43" spans="1:55" x14ac:dyDescent="0.2">
      <c r="A43" s="72"/>
      <c r="B43" s="52"/>
      <c r="C43" s="52"/>
      <c r="D43" s="52"/>
      <c r="E43" s="52"/>
      <c r="F43" s="52"/>
      <c r="G43" s="52"/>
      <c r="H43" s="52"/>
      <c r="I43" s="52"/>
      <c r="J43" s="52"/>
    </row>
    <row r="44" spans="1:55" x14ac:dyDescent="0.2">
      <c r="A44" s="72"/>
      <c r="B44" s="52"/>
      <c r="C44" s="52"/>
      <c r="D44" s="52"/>
      <c r="E44" s="52"/>
      <c r="F44" s="52"/>
      <c r="G44" s="52"/>
      <c r="H44" s="52"/>
      <c r="I44" s="52"/>
      <c r="J44" s="52"/>
    </row>
    <row r="45" spans="1:55" x14ac:dyDescent="0.2">
      <c r="A45" s="508" t="s">
        <v>236</v>
      </c>
      <c r="B45" s="508"/>
      <c r="C45" s="52"/>
      <c r="D45" s="52"/>
      <c r="E45" s="52"/>
      <c r="F45" s="52"/>
      <c r="G45" s="52"/>
      <c r="H45" s="52"/>
      <c r="I45" s="52"/>
      <c r="J45" s="52"/>
    </row>
    <row r="46" spans="1:55" x14ac:dyDescent="0.2">
      <c r="A46" s="72">
        <v>1</v>
      </c>
      <c r="B46" s="52" t="s">
        <v>630</v>
      </c>
      <c r="C46" s="52"/>
      <c r="D46" s="52"/>
      <c r="E46" s="52"/>
      <c r="F46" s="52"/>
      <c r="G46" s="52"/>
      <c r="H46" s="52"/>
      <c r="I46" s="52"/>
      <c r="J46" s="52"/>
    </row>
    <row r="47" spans="1:55" x14ac:dyDescent="0.2">
      <c r="A47" s="72">
        <v>2</v>
      </c>
      <c r="B47" t="s">
        <v>344</v>
      </c>
      <c r="C47" s="52"/>
      <c r="D47" s="52"/>
      <c r="E47" s="52"/>
      <c r="F47" s="52"/>
      <c r="G47" s="52"/>
      <c r="H47" s="52"/>
      <c r="I47" s="52"/>
      <c r="J47" s="52"/>
    </row>
    <row r="48" spans="1:55" x14ac:dyDescent="0.2">
      <c r="A48" s="72">
        <v>3</v>
      </c>
      <c r="B48" s="54" t="s">
        <v>346</v>
      </c>
      <c r="C48" s="52"/>
      <c r="D48" s="52"/>
      <c r="E48" s="52"/>
      <c r="F48" s="52"/>
      <c r="G48" s="52"/>
      <c r="H48" s="52"/>
      <c r="I48" s="52"/>
      <c r="J48" s="52"/>
    </row>
    <row r="49" spans="1:10" x14ac:dyDescent="0.2">
      <c r="A49" s="72">
        <v>4</v>
      </c>
      <c r="B49" s="73" t="s">
        <v>636</v>
      </c>
      <c r="C49" s="52"/>
      <c r="D49" s="52"/>
      <c r="E49" s="52"/>
      <c r="F49" s="52"/>
      <c r="G49" s="52"/>
      <c r="H49" s="52"/>
      <c r="I49" s="52"/>
      <c r="J49" s="52"/>
    </row>
    <row r="50" spans="1:10" x14ac:dyDescent="0.2">
      <c r="A50" s="72">
        <v>5</v>
      </c>
      <c r="B50" s="52" t="s">
        <v>349</v>
      </c>
      <c r="C50" s="52"/>
      <c r="D50" s="52"/>
      <c r="E50" s="52"/>
      <c r="F50" s="52"/>
      <c r="G50" s="52"/>
      <c r="H50" s="52"/>
      <c r="I50" s="52"/>
      <c r="J50" s="52"/>
    </row>
    <row r="51" spans="1:10" x14ac:dyDescent="0.2">
      <c r="A51" s="72">
        <v>6</v>
      </c>
      <c r="B51" t="s">
        <v>356</v>
      </c>
      <c r="C51" s="52"/>
      <c r="D51" s="52"/>
      <c r="E51" s="52"/>
      <c r="F51" s="52"/>
      <c r="G51" s="52"/>
      <c r="H51" s="52"/>
      <c r="I51" s="52"/>
      <c r="J51" s="52"/>
    </row>
    <row r="52" spans="1:10" x14ac:dyDescent="0.2">
      <c r="A52" s="72">
        <v>7</v>
      </c>
      <c r="B52" s="52" t="s">
        <v>631</v>
      </c>
      <c r="C52" s="52"/>
      <c r="D52" s="52"/>
      <c r="E52" s="52"/>
      <c r="F52" s="52"/>
      <c r="G52" s="52"/>
      <c r="H52" s="52"/>
      <c r="I52" s="52"/>
      <c r="J52" s="52"/>
    </row>
    <row r="53" spans="1:10" x14ac:dyDescent="0.2">
      <c r="A53" s="72">
        <v>8</v>
      </c>
      <c r="B53" s="54" t="s">
        <v>355</v>
      </c>
      <c r="C53" s="52"/>
      <c r="D53" s="52"/>
      <c r="E53" s="52"/>
      <c r="F53" s="52"/>
      <c r="G53" s="52"/>
      <c r="H53" s="52"/>
      <c r="I53" s="52"/>
      <c r="J53" s="52"/>
    </row>
    <row r="54" spans="1:10" x14ac:dyDescent="0.2">
      <c r="A54" s="72">
        <v>9</v>
      </c>
      <c r="B54" s="52" t="s">
        <v>632</v>
      </c>
      <c r="C54" s="52"/>
      <c r="D54" s="52"/>
      <c r="E54" s="52"/>
      <c r="F54" s="52"/>
      <c r="G54" s="52"/>
      <c r="H54" s="52"/>
      <c r="I54" s="52"/>
      <c r="J54" s="52"/>
    </row>
    <row r="55" spans="1:10" x14ac:dyDescent="0.2">
      <c r="A55" s="72"/>
      <c r="B55" s="52"/>
      <c r="C55" s="52"/>
      <c r="D55" s="52"/>
      <c r="E55" s="52"/>
      <c r="F55" s="52"/>
      <c r="G55" s="52"/>
      <c r="H55" s="52"/>
      <c r="I55" s="52"/>
      <c r="J55" s="52"/>
    </row>
    <row r="56" spans="1:10" x14ac:dyDescent="0.2">
      <c r="A56" s="72"/>
      <c r="B56" s="52"/>
      <c r="C56" s="52"/>
      <c r="D56" s="52"/>
      <c r="E56" s="52"/>
      <c r="F56" s="52"/>
      <c r="G56" s="52"/>
      <c r="H56" s="52"/>
      <c r="I56" s="52"/>
      <c r="J56" s="52"/>
    </row>
    <row r="57" spans="1:10" x14ac:dyDescent="0.2">
      <c r="A57" s="508" t="s">
        <v>249</v>
      </c>
      <c r="B57" s="509"/>
      <c r="C57" s="52"/>
      <c r="D57" s="52"/>
      <c r="E57" s="52"/>
      <c r="F57" s="52"/>
      <c r="G57" s="52"/>
      <c r="H57" s="52"/>
      <c r="I57" s="52"/>
      <c r="J57" s="52"/>
    </row>
    <row r="58" spans="1:10" ht="15.75" customHeight="1" x14ac:dyDescent="0.2">
      <c r="A58" s="510" t="s">
        <v>358</v>
      </c>
      <c r="B58" s="510"/>
      <c r="C58" s="510"/>
      <c r="D58" s="510"/>
      <c r="E58" s="510"/>
      <c r="F58" s="74"/>
      <c r="G58" s="74"/>
      <c r="H58" s="74"/>
      <c r="I58" s="74"/>
      <c r="J58" s="52"/>
    </row>
    <row r="59" spans="1:10" x14ac:dyDescent="0.2">
      <c r="A59" s="72">
        <v>23</v>
      </c>
      <c r="B59" s="52" t="s">
        <v>357</v>
      </c>
      <c r="C59" s="52"/>
      <c r="D59" s="52"/>
      <c r="E59" s="52"/>
      <c r="F59" s="52"/>
      <c r="G59" s="52"/>
      <c r="H59" s="52"/>
      <c r="I59" s="52"/>
      <c r="J59" s="52"/>
    </row>
    <row r="60" spans="1:10" x14ac:dyDescent="0.2">
      <c r="A60" s="72"/>
      <c r="B60" s="52"/>
      <c r="C60" s="52"/>
      <c r="D60" s="52"/>
      <c r="E60" s="52"/>
      <c r="F60" s="52"/>
      <c r="G60" s="52"/>
      <c r="H60" s="52"/>
      <c r="I60" s="52"/>
      <c r="J60" s="52"/>
    </row>
    <row r="61" spans="1:10" x14ac:dyDescent="0.2">
      <c r="A61" s="72"/>
      <c r="B61" s="52"/>
      <c r="C61" s="52"/>
      <c r="D61" s="52"/>
      <c r="E61" s="52"/>
      <c r="F61" s="52"/>
      <c r="G61" s="52"/>
      <c r="H61" s="52"/>
      <c r="I61" s="52"/>
      <c r="J61" s="52"/>
    </row>
    <row r="62" spans="1:10" x14ac:dyDescent="0.2">
      <c r="A62" s="508" t="s">
        <v>249</v>
      </c>
      <c r="B62" s="509"/>
      <c r="C62" s="52"/>
      <c r="D62" s="52"/>
      <c r="E62" s="52"/>
      <c r="F62" s="52"/>
      <c r="G62" s="52"/>
      <c r="H62" s="52"/>
      <c r="I62" s="52"/>
      <c r="J62" s="52"/>
    </row>
    <row r="63" spans="1:10" ht="15.75" customHeight="1" x14ac:dyDescent="0.2">
      <c r="A63" s="510" t="s">
        <v>358</v>
      </c>
      <c r="B63" s="510"/>
      <c r="C63" s="510"/>
      <c r="D63" s="510"/>
      <c r="E63" s="510"/>
      <c r="F63" s="74"/>
      <c r="G63" s="74"/>
      <c r="H63" s="74"/>
      <c r="I63" s="74"/>
      <c r="J63" s="52"/>
    </row>
    <row r="64" spans="1:10" x14ac:dyDescent="0.2">
      <c r="A64" s="72"/>
      <c r="B64" s="52"/>
      <c r="C64" s="52"/>
      <c r="D64" s="52"/>
      <c r="E64" s="52"/>
      <c r="F64" s="52"/>
      <c r="G64" s="52"/>
      <c r="H64" s="52"/>
      <c r="I64" s="52"/>
      <c r="J64" s="52"/>
    </row>
    <row r="65" spans="1:10" x14ac:dyDescent="0.2">
      <c r="A65" s="72"/>
      <c r="B65" s="52"/>
      <c r="C65" s="52"/>
      <c r="D65" s="52"/>
      <c r="E65" s="52"/>
      <c r="F65" s="52"/>
      <c r="G65" s="52"/>
      <c r="H65" s="52"/>
      <c r="I65" s="52"/>
      <c r="J65" s="52"/>
    </row>
    <row r="66" spans="1:10" x14ac:dyDescent="0.2">
      <c r="A66" s="508" t="s">
        <v>237</v>
      </c>
      <c r="B66" s="509"/>
      <c r="C66" s="52"/>
      <c r="D66" s="52"/>
      <c r="E66" s="52"/>
      <c r="F66" s="52"/>
      <c r="G66" s="52"/>
      <c r="H66" s="52"/>
      <c r="I66" s="52"/>
      <c r="J66" s="52"/>
    </row>
    <row r="67" spans="1:10" ht="15.75" customHeight="1" x14ac:dyDescent="0.2">
      <c r="A67" s="511" t="s">
        <v>359</v>
      </c>
      <c r="B67" s="511"/>
      <c r="C67" s="511"/>
      <c r="D67" s="511"/>
      <c r="E67" s="511"/>
      <c r="F67" s="57"/>
      <c r="G67" s="57"/>
      <c r="H67" s="57"/>
      <c r="I67" s="57"/>
      <c r="J67" s="57"/>
    </row>
    <row r="68" spans="1:10" x14ac:dyDescent="0.2">
      <c r="A68" s="511"/>
      <c r="B68" s="511"/>
      <c r="C68" s="511"/>
      <c r="D68" s="511"/>
      <c r="E68" s="511"/>
      <c r="F68" s="52"/>
      <c r="G68" s="52"/>
      <c r="H68" s="52"/>
      <c r="I68" s="52"/>
      <c r="J68" s="52"/>
    </row>
    <row r="69" spans="1:10" x14ac:dyDescent="0.2">
      <c r="A69" s="511"/>
      <c r="B69" s="511"/>
      <c r="C69" s="511"/>
      <c r="D69" s="511"/>
      <c r="E69" s="511"/>
      <c r="F69" s="52"/>
      <c r="G69" s="52"/>
      <c r="H69" s="52"/>
      <c r="I69" s="52"/>
      <c r="J69" s="52"/>
    </row>
    <row r="70" spans="1:10" x14ac:dyDescent="0.2">
      <c r="A70" s="511"/>
      <c r="B70" s="511"/>
      <c r="C70" s="511"/>
      <c r="D70" s="511"/>
      <c r="E70" s="511"/>
      <c r="F70" s="52"/>
      <c r="G70" s="52"/>
      <c r="H70" s="52"/>
      <c r="I70" s="52"/>
      <c r="J70" s="52"/>
    </row>
    <row r="71" spans="1:10" x14ac:dyDescent="0.2">
      <c r="A71" s="511"/>
      <c r="B71" s="511"/>
      <c r="C71" s="511"/>
      <c r="D71" s="511"/>
      <c r="E71" s="511"/>
      <c r="F71" s="52"/>
      <c r="G71" s="52"/>
      <c r="H71" s="52"/>
      <c r="I71" s="52"/>
      <c r="J71" s="52"/>
    </row>
    <row r="72" spans="1:10" x14ac:dyDescent="0.2">
      <c r="A72" s="511"/>
      <c r="B72" s="511"/>
      <c r="C72" s="511"/>
      <c r="D72" s="511"/>
      <c r="E72" s="511"/>
      <c r="F72" s="52"/>
      <c r="G72" s="52"/>
      <c r="H72" s="52"/>
      <c r="I72" s="52"/>
      <c r="J72" s="52"/>
    </row>
    <row r="73" spans="1:10" x14ac:dyDescent="0.2">
      <c r="A73" s="511"/>
      <c r="B73" s="511"/>
      <c r="C73" s="511"/>
      <c r="D73" s="511"/>
      <c r="E73" s="511"/>
      <c r="F73" s="52"/>
      <c r="G73" s="52"/>
      <c r="H73" s="52"/>
      <c r="I73" s="52"/>
      <c r="J73" s="52"/>
    </row>
    <row r="74" spans="1:10" x14ac:dyDescent="0.2">
      <c r="A74" s="511"/>
      <c r="B74" s="511"/>
      <c r="C74" s="511"/>
      <c r="D74" s="511"/>
      <c r="E74" s="511"/>
      <c r="F74" s="52"/>
      <c r="G74" s="52"/>
      <c r="H74" s="52"/>
      <c r="I74" s="52"/>
      <c r="J74" s="52"/>
    </row>
    <row r="75" spans="1:10" x14ac:dyDescent="0.2">
      <c r="A75" s="511"/>
      <c r="B75" s="511"/>
      <c r="C75" s="511"/>
      <c r="D75" s="511"/>
      <c r="E75" s="511"/>
      <c r="F75" s="52"/>
      <c r="G75" s="52"/>
      <c r="H75" s="52"/>
      <c r="I75" s="52"/>
      <c r="J75" s="52"/>
    </row>
    <row r="76" spans="1:10" x14ac:dyDescent="0.2">
      <c r="A76" s="511"/>
      <c r="B76" s="511"/>
      <c r="C76" s="511"/>
      <c r="D76" s="511"/>
      <c r="E76" s="511"/>
      <c r="F76" s="52"/>
      <c r="G76" s="52"/>
      <c r="H76" s="52"/>
      <c r="I76" s="52"/>
      <c r="J76" s="52"/>
    </row>
    <row r="77" spans="1:10" x14ac:dyDescent="0.2">
      <c r="A77" s="511"/>
      <c r="B77" s="511"/>
      <c r="C77" s="511"/>
      <c r="D77" s="511"/>
      <c r="E77" s="511"/>
      <c r="F77" s="52"/>
      <c r="G77" s="52"/>
      <c r="H77" s="52"/>
      <c r="I77" s="52"/>
      <c r="J77" s="52"/>
    </row>
    <row r="78" spans="1:10" x14ac:dyDescent="0.2">
      <c r="A78" s="511"/>
      <c r="B78" s="511"/>
      <c r="C78" s="511"/>
      <c r="D78" s="511"/>
      <c r="E78" s="511"/>
      <c r="F78" s="52"/>
      <c r="G78" s="52"/>
      <c r="H78" s="52"/>
      <c r="I78" s="52"/>
      <c r="J78" s="52"/>
    </row>
    <row r="79" spans="1:10" x14ac:dyDescent="0.2">
      <c r="A79" s="511"/>
      <c r="B79" s="511"/>
      <c r="C79" s="511"/>
      <c r="D79" s="511"/>
      <c r="E79" s="511"/>
      <c r="F79" s="52"/>
      <c r="G79" s="52"/>
      <c r="H79" s="52"/>
      <c r="I79" s="52"/>
      <c r="J79" s="52"/>
    </row>
    <row r="80" spans="1:10" x14ac:dyDescent="0.2">
      <c r="A80" s="511"/>
      <c r="B80" s="511"/>
      <c r="C80" s="511"/>
      <c r="D80" s="511"/>
      <c r="E80" s="511"/>
      <c r="F80" s="52"/>
      <c r="G80" s="52"/>
      <c r="H80" s="52"/>
      <c r="I80" s="52"/>
      <c r="J80" s="52"/>
    </row>
    <row r="81" spans="1:10" x14ac:dyDescent="0.2">
      <c r="A81" s="508" t="s">
        <v>238</v>
      </c>
      <c r="B81" s="509"/>
      <c r="C81" s="52"/>
      <c r="D81" s="52"/>
      <c r="E81" s="52"/>
      <c r="F81" s="52"/>
      <c r="G81" s="52"/>
      <c r="H81" s="52"/>
      <c r="I81" s="52"/>
      <c r="J81" s="52"/>
    </row>
    <row r="82" spans="1:10" x14ac:dyDescent="0.2">
      <c r="A82" s="507"/>
      <c r="B82" s="507"/>
      <c r="C82" s="507"/>
      <c r="D82" s="507"/>
      <c r="E82" s="507"/>
      <c r="F82" s="507"/>
      <c r="G82" s="507"/>
      <c r="H82" s="507"/>
      <c r="I82" s="507"/>
      <c r="J82" s="507"/>
    </row>
    <row r="83" spans="1:10" x14ac:dyDescent="0.2">
      <c r="A83" s="72"/>
      <c r="B83" s="52"/>
      <c r="C83" s="52"/>
      <c r="D83" s="52"/>
      <c r="E83" s="52"/>
      <c r="F83" s="52"/>
      <c r="G83" s="52"/>
      <c r="H83" s="52"/>
      <c r="I83" s="52"/>
      <c r="J83" s="52"/>
    </row>
    <row r="84" spans="1:10" x14ac:dyDescent="0.2">
      <c r="A84" s="508" t="s">
        <v>250</v>
      </c>
      <c r="B84" s="509"/>
      <c r="C84" s="52"/>
      <c r="D84" s="52"/>
      <c r="E84" s="52"/>
      <c r="F84" s="52"/>
      <c r="G84" s="52"/>
      <c r="H84" s="52"/>
      <c r="I84" s="52"/>
      <c r="J84" s="52"/>
    </row>
    <row r="85" spans="1:10" x14ac:dyDescent="0.2">
      <c r="A85" s="507"/>
      <c r="B85" s="507"/>
      <c r="C85" s="507"/>
      <c r="D85" s="507"/>
      <c r="E85" s="507"/>
      <c r="F85" s="57"/>
      <c r="G85" s="57"/>
      <c r="H85" s="57"/>
      <c r="I85" s="57"/>
      <c r="J85" s="57"/>
    </row>
  </sheetData>
  <mergeCells count="12">
    <mergeCell ref="A33:B33"/>
    <mergeCell ref="A45:B45"/>
    <mergeCell ref="A57:B57"/>
    <mergeCell ref="A58:E58"/>
    <mergeCell ref="A81:B81"/>
    <mergeCell ref="A85:E85"/>
    <mergeCell ref="A82:J82"/>
    <mergeCell ref="A84:B84"/>
    <mergeCell ref="A62:B62"/>
    <mergeCell ref="A63:E63"/>
    <mergeCell ref="A66:B66"/>
    <mergeCell ref="A67:E80"/>
  </mergeCells>
  <phoneticPr fontId="103" type="noConversion"/>
  <hyperlinks>
    <hyperlink ref="B47" r:id="rId1"/>
    <hyperlink ref="B48" r:id="rId2"/>
    <hyperlink ref="B51" r:id="rId3"/>
    <hyperlink ref="B49" r:id="rId4"/>
    <hyperlink ref="B53" r:id="rId5"/>
    <hyperlink ref="BC35" r:id="rId6"/>
    <hyperlink ref="BC36" r:id="rId7"/>
    <hyperlink ref="BC37" r:id="rId8"/>
    <hyperlink ref="BC39" r:id="rId9"/>
    <hyperlink ref="BC41" r:id="rId10"/>
  </hyperlinks>
  <pageMargins left="0.75" right="0.75" top="1" bottom="1" header="0.3" footer="0.3"/>
  <pageSetup orientation="portrait" horizontalDpi="0" verticalDpi="0"/>
  <legacy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2"/>
  <sheetViews>
    <sheetView topLeftCell="B1" zoomScale="136" workbookViewId="0">
      <selection activeCell="F4" sqref="F4:BC4"/>
    </sheetView>
  </sheetViews>
  <sheetFormatPr baseColWidth="10" defaultColWidth="11" defaultRowHeight="16" x14ac:dyDescent="0.2"/>
  <cols>
    <col min="2" max="2" width="17.6640625" customWidth="1"/>
    <col min="3" max="3" width="11.83203125" customWidth="1"/>
    <col min="4" max="4" width="12.6640625" customWidth="1"/>
  </cols>
  <sheetData>
    <row r="1" spans="1:57" ht="12" customHeight="1" x14ac:dyDescent="0.2">
      <c r="C1">
        <v>2011</v>
      </c>
      <c r="E1" s="78"/>
      <c r="F1" s="78">
        <v>1</v>
      </c>
      <c r="G1" s="78">
        <f>F1+1</f>
        <v>2</v>
      </c>
      <c r="H1" s="78">
        <f t="shared" ref="H1:M1" si="0">G1+1</f>
        <v>3</v>
      </c>
      <c r="I1" s="78">
        <f t="shared" si="0"/>
        <v>4</v>
      </c>
      <c r="J1" s="78">
        <f t="shared" si="0"/>
        <v>5</v>
      </c>
      <c r="K1" s="78">
        <f t="shared" si="0"/>
        <v>6</v>
      </c>
      <c r="L1" s="78">
        <f t="shared" si="0"/>
        <v>7</v>
      </c>
      <c r="M1" s="78">
        <f t="shared" si="0"/>
        <v>8</v>
      </c>
      <c r="N1" s="78">
        <f t="shared" ref="N1" si="1">M1+1</f>
        <v>9</v>
      </c>
      <c r="O1" s="78">
        <f t="shared" ref="O1" si="2">N1+1</f>
        <v>10</v>
      </c>
      <c r="P1" s="78">
        <f t="shared" ref="P1" si="3">O1+1</f>
        <v>11</v>
      </c>
      <c r="Q1" s="78">
        <f t="shared" ref="Q1" si="4">P1+1</f>
        <v>12</v>
      </c>
      <c r="R1" s="78">
        <f t="shared" ref="R1" si="5">Q1+1</f>
        <v>13</v>
      </c>
      <c r="S1" s="78">
        <f t="shared" ref="S1" si="6">R1+1</f>
        <v>14</v>
      </c>
      <c r="T1" s="78">
        <f t="shared" ref="T1" si="7">S1+1</f>
        <v>15</v>
      </c>
      <c r="U1" s="78">
        <f t="shared" ref="U1" si="8">T1+1</f>
        <v>16</v>
      </c>
      <c r="V1" s="78">
        <f t="shared" ref="V1" si="9">U1+1</f>
        <v>17</v>
      </c>
      <c r="W1" s="78">
        <f t="shared" ref="W1" si="10">V1+1</f>
        <v>18</v>
      </c>
      <c r="X1" s="78">
        <f t="shared" ref="X1" si="11">W1+1</f>
        <v>19</v>
      </c>
      <c r="Y1" s="78">
        <f t="shared" ref="Y1" si="12">X1+1</f>
        <v>20</v>
      </c>
      <c r="Z1" s="78">
        <f t="shared" ref="Z1" si="13">Y1+1</f>
        <v>21</v>
      </c>
      <c r="AA1" s="78">
        <f t="shared" ref="AA1" si="14">Z1+1</f>
        <v>22</v>
      </c>
      <c r="AB1" s="78">
        <f t="shared" ref="AB1" si="15">AA1+1</f>
        <v>23</v>
      </c>
      <c r="AC1" s="78">
        <f t="shared" ref="AC1" si="16">AB1+1</f>
        <v>24</v>
      </c>
      <c r="AD1" s="78">
        <f t="shared" ref="AD1" si="17">AC1+1</f>
        <v>25</v>
      </c>
      <c r="AE1" s="78">
        <f t="shared" ref="AE1" si="18">AD1+1</f>
        <v>26</v>
      </c>
      <c r="AF1" s="78">
        <f t="shared" ref="AF1" si="19">AE1+1</f>
        <v>27</v>
      </c>
      <c r="AG1" s="78">
        <f t="shared" ref="AG1" si="20">AF1+1</f>
        <v>28</v>
      </c>
      <c r="AH1" s="78">
        <f t="shared" ref="AH1" si="21">AG1+1</f>
        <v>29</v>
      </c>
      <c r="AI1" s="78">
        <f t="shared" ref="AI1" si="22">AH1+1</f>
        <v>30</v>
      </c>
      <c r="AJ1" s="78">
        <f t="shared" ref="AJ1" si="23">AI1+1</f>
        <v>31</v>
      </c>
      <c r="AK1" s="78">
        <f t="shared" ref="AK1" si="24">AJ1+1</f>
        <v>32</v>
      </c>
      <c r="AL1" s="78">
        <f t="shared" ref="AL1" si="25">AK1+1</f>
        <v>33</v>
      </c>
      <c r="AM1" s="78">
        <f t="shared" ref="AM1" si="26">AL1+1</f>
        <v>34</v>
      </c>
      <c r="AN1" s="78">
        <f t="shared" ref="AN1" si="27">AM1+1</f>
        <v>35</v>
      </c>
      <c r="AO1" s="78">
        <f t="shared" ref="AO1" si="28">AN1+1</f>
        <v>36</v>
      </c>
      <c r="AP1" s="78">
        <f t="shared" ref="AP1" si="29">AO1+1</f>
        <v>37</v>
      </c>
      <c r="AQ1" s="78">
        <f t="shared" ref="AQ1" si="30">AP1+1</f>
        <v>38</v>
      </c>
      <c r="AR1" s="78">
        <f t="shared" ref="AR1" si="31">AQ1+1</f>
        <v>39</v>
      </c>
      <c r="AS1" s="78">
        <f t="shared" ref="AS1" si="32">AR1+1</f>
        <v>40</v>
      </c>
      <c r="AT1" s="78">
        <f t="shared" ref="AT1" si="33">AS1+1</f>
        <v>41</v>
      </c>
      <c r="AU1" s="78">
        <f t="shared" ref="AU1" si="34">AT1+1</f>
        <v>42</v>
      </c>
      <c r="AV1" s="78">
        <f t="shared" ref="AV1" si="35">AU1+1</f>
        <v>43</v>
      </c>
      <c r="AW1" s="78">
        <f t="shared" ref="AW1" si="36">AV1+1</f>
        <v>44</v>
      </c>
      <c r="AX1" s="78">
        <f t="shared" ref="AX1" si="37">AW1+1</f>
        <v>45</v>
      </c>
      <c r="AY1" s="78">
        <f t="shared" ref="AY1" si="38">AX1+1</f>
        <v>46</v>
      </c>
      <c r="AZ1" s="78">
        <f t="shared" ref="AZ1" si="39">AY1+1</f>
        <v>47</v>
      </c>
      <c r="BA1" s="78">
        <f t="shared" ref="BA1" si="40">AZ1+1</f>
        <v>48</v>
      </c>
      <c r="BB1" s="78">
        <f t="shared" ref="BB1" si="41">BA1+1</f>
        <v>49</v>
      </c>
      <c r="BC1" s="78">
        <f t="shared" ref="BC1" si="42">BB1+1</f>
        <v>50</v>
      </c>
    </row>
    <row r="2" spans="1:57" ht="12" customHeight="1" x14ac:dyDescent="0.2">
      <c r="E2" s="78" t="s">
        <v>95</v>
      </c>
      <c r="F2" s="79" t="s">
        <v>144</v>
      </c>
      <c r="G2" s="79" t="s">
        <v>145</v>
      </c>
      <c r="H2" s="79" t="s">
        <v>146</v>
      </c>
      <c r="I2" s="79" t="s">
        <v>147</v>
      </c>
      <c r="J2" s="79" t="s">
        <v>148</v>
      </c>
      <c r="K2" s="79" t="s">
        <v>149</v>
      </c>
      <c r="L2" s="79" t="s">
        <v>150</v>
      </c>
      <c r="M2" s="79" t="s">
        <v>151</v>
      </c>
      <c r="N2" s="79" t="s">
        <v>152</v>
      </c>
      <c r="O2" s="79" t="s">
        <v>153</v>
      </c>
      <c r="P2" s="79" t="s">
        <v>154</v>
      </c>
      <c r="Q2" s="79" t="s">
        <v>155</v>
      </c>
      <c r="R2" s="79" t="s">
        <v>156</v>
      </c>
      <c r="S2" s="79" t="s">
        <v>2</v>
      </c>
      <c r="T2" s="79" t="s">
        <v>3</v>
      </c>
      <c r="U2" s="79" t="s">
        <v>4</v>
      </c>
      <c r="V2" s="79" t="s">
        <v>5</v>
      </c>
      <c r="W2" s="79" t="s">
        <v>6</v>
      </c>
      <c r="X2" s="79" t="s">
        <v>7</v>
      </c>
      <c r="Y2" s="79" t="s">
        <v>8</v>
      </c>
      <c r="Z2" s="79" t="s">
        <v>9</v>
      </c>
      <c r="AA2" s="79" t="s">
        <v>10</v>
      </c>
      <c r="AB2" s="79" t="s">
        <v>11</v>
      </c>
      <c r="AC2" s="79" t="s">
        <v>12</v>
      </c>
      <c r="AD2" s="79" t="s">
        <v>13</v>
      </c>
      <c r="AE2" s="79" t="s">
        <v>14</v>
      </c>
      <c r="AF2" s="79" t="s">
        <v>15</v>
      </c>
      <c r="AG2" s="79" t="s">
        <v>16</v>
      </c>
      <c r="AH2" s="79" t="s">
        <v>17</v>
      </c>
      <c r="AI2" s="79" t="s">
        <v>18</v>
      </c>
      <c r="AJ2" s="79" t="s">
        <v>19</v>
      </c>
      <c r="AK2" s="79" t="s">
        <v>20</v>
      </c>
      <c r="AL2" s="79" t="s">
        <v>21</v>
      </c>
      <c r="AM2" s="79" t="s">
        <v>22</v>
      </c>
      <c r="AN2" s="79" t="s">
        <v>23</v>
      </c>
      <c r="AO2" s="79" t="s">
        <v>24</v>
      </c>
      <c r="AP2" s="79" t="s">
        <v>25</v>
      </c>
      <c r="AQ2" s="79" t="s">
        <v>26</v>
      </c>
      <c r="AR2" s="79" t="s">
        <v>27</v>
      </c>
      <c r="AS2" s="79" t="s">
        <v>28</v>
      </c>
      <c r="AT2" s="79" t="s">
        <v>29</v>
      </c>
      <c r="AU2" s="79" t="s">
        <v>30</v>
      </c>
      <c r="AV2" s="79" t="s">
        <v>31</v>
      </c>
      <c r="AW2" s="79" t="s">
        <v>32</v>
      </c>
      <c r="AX2" s="79" t="s">
        <v>33</v>
      </c>
      <c r="AY2" s="79" t="s">
        <v>34</v>
      </c>
      <c r="AZ2" s="79" t="s">
        <v>35</v>
      </c>
      <c r="BA2" s="79" t="s">
        <v>36</v>
      </c>
      <c r="BB2" s="79" t="s">
        <v>37</v>
      </c>
      <c r="BC2" s="79" t="s">
        <v>38</v>
      </c>
    </row>
    <row r="3" spans="1:57" ht="12" customHeight="1" x14ac:dyDescent="0.2">
      <c r="E3" s="78" t="s">
        <v>96</v>
      </c>
      <c r="F3" s="78" t="s">
        <v>39</v>
      </c>
      <c r="G3" s="78" t="s">
        <v>40</v>
      </c>
      <c r="H3" s="78" t="s">
        <v>41</v>
      </c>
      <c r="I3" s="78" t="s">
        <v>42</v>
      </c>
      <c r="J3" s="78" t="s">
        <v>43</v>
      </c>
      <c r="K3" s="78" t="s">
        <v>44</v>
      </c>
      <c r="L3" s="78" t="s">
        <v>45</v>
      </c>
      <c r="M3" s="78" t="s">
        <v>46</v>
      </c>
      <c r="N3" s="78" t="s">
        <v>47</v>
      </c>
      <c r="O3" s="78" t="s">
        <v>48</v>
      </c>
      <c r="P3" s="78" t="s">
        <v>49</v>
      </c>
      <c r="Q3" s="78" t="s">
        <v>50</v>
      </c>
      <c r="R3" s="78" t="s">
        <v>51</v>
      </c>
      <c r="S3" s="78" t="s">
        <v>52</v>
      </c>
      <c r="T3" s="78" t="s">
        <v>53</v>
      </c>
      <c r="U3" s="78" t="s">
        <v>54</v>
      </c>
      <c r="V3" s="78" t="s">
        <v>55</v>
      </c>
      <c r="W3" s="78" t="s">
        <v>56</v>
      </c>
      <c r="X3" s="78" t="s">
        <v>57</v>
      </c>
      <c r="Y3" s="78" t="s">
        <v>58</v>
      </c>
      <c r="Z3" s="78" t="s">
        <v>59</v>
      </c>
      <c r="AA3" s="78" t="s">
        <v>60</v>
      </c>
      <c r="AB3" s="78" t="s">
        <v>61</v>
      </c>
      <c r="AC3" s="78" t="s">
        <v>62</v>
      </c>
      <c r="AD3" s="78" t="s">
        <v>63</v>
      </c>
      <c r="AE3" s="78" t="s">
        <v>64</v>
      </c>
      <c r="AF3" s="78" t="s">
        <v>65</v>
      </c>
      <c r="AG3" s="78" t="s">
        <v>66</v>
      </c>
      <c r="AH3" s="78" t="s">
        <v>67</v>
      </c>
      <c r="AI3" s="78" t="s">
        <v>68</v>
      </c>
      <c r="AJ3" s="78" t="s">
        <v>69</v>
      </c>
      <c r="AK3" s="78" t="s">
        <v>70</v>
      </c>
      <c r="AL3" s="78" t="s">
        <v>71</v>
      </c>
      <c r="AM3" s="78" t="s">
        <v>72</v>
      </c>
      <c r="AN3" s="78" t="s">
        <v>73</v>
      </c>
      <c r="AO3" s="78" t="s">
        <v>74</v>
      </c>
      <c r="AP3" s="78" t="s">
        <v>75</v>
      </c>
      <c r="AQ3" s="78" t="s">
        <v>76</v>
      </c>
      <c r="AR3" s="78" t="s">
        <v>77</v>
      </c>
      <c r="AS3" s="78" t="s">
        <v>78</v>
      </c>
      <c r="AT3" s="78" t="s">
        <v>79</v>
      </c>
      <c r="AU3" s="78" t="s">
        <v>80</v>
      </c>
      <c r="AV3" s="78" t="s">
        <v>81</v>
      </c>
      <c r="AW3" s="78" t="s">
        <v>82</v>
      </c>
      <c r="AX3" s="78" t="s">
        <v>83</v>
      </c>
      <c r="AY3" s="78" t="s">
        <v>84</v>
      </c>
      <c r="AZ3" s="78" t="s">
        <v>85</v>
      </c>
      <c r="BA3" s="78" t="s">
        <v>86</v>
      </c>
      <c r="BB3" s="78" t="s">
        <v>87</v>
      </c>
      <c r="BC3" s="78" t="s">
        <v>88</v>
      </c>
    </row>
    <row r="4" spans="1:57" s="208" customFormat="1" x14ac:dyDescent="0.2">
      <c r="A4" s="127">
        <v>1</v>
      </c>
      <c r="B4" s="262" t="s">
        <v>587</v>
      </c>
      <c r="C4" s="262"/>
      <c r="D4" s="262"/>
      <c r="E4" s="262">
        <f>$E5</f>
        <v>257.60000000000002</v>
      </c>
      <c r="F4" s="262">
        <f>$E5*F6</f>
        <v>3.9792747771387331</v>
      </c>
      <c r="G4" s="262">
        <f t="shared" ref="G4:BC4" si="43">$E5*G6</f>
        <v>0.59963037577570977</v>
      </c>
      <c r="H4" s="262">
        <f t="shared" si="43"/>
        <v>5.3573875109964408</v>
      </c>
      <c r="I4" s="262">
        <f t="shared" si="43"/>
        <v>2.434259427109851</v>
      </c>
      <c r="J4" s="262">
        <f t="shared" si="43"/>
        <v>31.216576279248294</v>
      </c>
      <c r="K4" s="262">
        <f t="shared" si="43"/>
        <v>4.2382368010969182</v>
      </c>
      <c r="L4" s="262">
        <f t="shared" si="43"/>
        <v>2.971160808044548</v>
      </c>
      <c r="M4" s="262">
        <f t="shared" si="43"/>
        <v>0.75228156075183839</v>
      </c>
      <c r="N4" s="262">
        <f t="shared" si="43"/>
        <v>15.807343869961796</v>
      </c>
      <c r="O4" s="262">
        <f t="shared" si="43"/>
        <v>8.1284351629930107</v>
      </c>
      <c r="P4" s="262">
        <f t="shared" si="43"/>
        <v>1.1416130330967356</v>
      </c>
      <c r="Q4" s="262">
        <f t="shared" si="43"/>
        <v>1.3119401677845517</v>
      </c>
      <c r="R4" s="262">
        <f t="shared" si="43"/>
        <v>10.652747664109683</v>
      </c>
      <c r="S4" s="262">
        <f t="shared" si="43"/>
        <v>5.3980095572032898</v>
      </c>
      <c r="T4" s="262">
        <f t="shared" si="43"/>
        <v>2.5382334091167142</v>
      </c>
      <c r="U4" s="262">
        <f t="shared" si="43"/>
        <v>2.3777672972692736</v>
      </c>
      <c r="V4" s="262">
        <f t="shared" si="43"/>
        <v>3.6173767299790431</v>
      </c>
      <c r="W4" s="262">
        <f t="shared" si="43"/>
        <v>3.7896397862375881</v>
      </c>
      <c r="X4" s="262">
        <f t="shared" si="43"/>
        <v>1.100537863612528</v>
      </c>
      <c r="Y4" s="262">
        <f t="shared" si="43"/>
        <v>4.8373784333010699</v>
      </c>
      <c r="Z4" s="262">
        <f t="shared" si="43"/>
        <v>5.4731021076468398</v>
      </c>
      <c r="AA4" s="262">
        <f t="shared" si="43"/>
        <v>8.1817338920397678</v>
      </c>
      <c r="AB4" s="262">
        <f t="shared" si="43"/>
        <v>4.4295898499089281</v>
      </c>
      <c r="AC4" s="262">
        <f t="shared" si="43"/>
        <v>2.4664626582018863</v>
      </c>
      <c r="AD4" s="262">
        <f t="shared" si="43"/>
        <v>4.9777157654107524</v>
      </c>
      <c r="AE4" s="262">
        <f t="shared" si="43"/>
        <v>0.82644632678836372</v>
      </c>
      <c r="AF4" s="262">
        <f t="shared" si="43"/>
        <v>1.5260678386522102</v>
      </c>
      <c r="AG4" s="262">
        <f t="shared" si="43"/>
        <v>2.2532138973840965</v>
      </c>
      <c r="AH4" s="262">
        <f t="shared" si="43"/>
        <v>1.0916435589891149</v>
      </c>
      <c r="AI4" s="262">
        <f t="shared" si="43"/>
        <v>7.3185398473228167</v>
      </c>
      <c r="AJ4" s="262">
        <f t="shared" si="43"/>
        <v>1.7219297540065726</v>
      </c>
      <c r="AK4" s="262">
        <f t="shared" si="43"/>
        <v>16.154727889804096</v>
      </c>
      <c r="AL4" s="262">
        <f t="shared" si="43"/>
        <v>7.9947704232034917</v>
      </c>
      <c r="AM4" s="262">
        <f t="shared" si="43"/>
        <v>0.56722419184463779</v>
      </c>
      <c r="AN4" s="262">
        <f t="shared" si="43"/>
        <v>9.5603270856796847</v>
      </c>
      <c r="AO4" s="262">
        <f t="shared" si="43"/>
        <v>3.1347209152136282</v>
      </c>
      <c r="AP4" s="262">
        <f t="shared" si="43"/>
        <v>3.2043594187501698</v>
      </c>
      <c r="AQ4" s="262">
        <f t="shared" si="43"/>
        <v>10.556818069939084</v>
      </c>
      <c r="AR4" s="262">
        <f t="shared" si="43"/>
        <v>0.87033301437742971</v>
      </c>
      <c r="AS4" s="262">
        <f t="shared" si="43"/>
        <v>3.8713030383923157</v>
      </c>
      <c r="AT4" s="262">
        <f t="shared" si="43"/>
        <v>0.6822470920844419</v>
      </c>
      <c r="AU4" s="262">
        <f t="shared" si="43"/>
        <v>5.3014487382843392</v>
      </c>
      <c r="AV4" s="262">
        <f t="shared" si="43"/>
        <v>21.232824957781293</v>
      </c>
      <c r="AW4" s="262">
        <f t="shared" si="43"/>
        <v>2.331345770139587</v>
      </c>
      <c r="AX4" s="262">
        <f t="shared" si="43"/>
        <v>0.51905561354136642</v>
      </c>
      <c r="AY4" s="262">
        <f t="shared" si="43"/>
        <v>6.7135009854815149</v>
      </c>
      <c r="AZ4" s="262">
        <f t="shared" si="43"/>
        <v>5.6522506496118021</v>
      </c>
      <c r="BA4" s="262">
        <f t="shared" si="43"/>
        <v>1.5365667132724148</v>
      </c>
      <c r="BB4" s="262">
        <f t="shared" si="43"/>
        <v>4.7299136624627769</v>
      </c>
      <c r="BC4" s="262">
        <f t="shared" si="43"/>
        <v>0.46998575895698558</v>
      </c>
    </row>
    <row r="5" spans="1:57" ht="15" customHeight="1" x14ac:dyDescent="0.2">
      <c r="A5">
        <v>2</v>
      </c>
      <c r="B5" s="227" t="s">
        <v>588</v>
      </c>
      <c r="C5" s="227"/>
      <c r="D5" s="227"/>
      <c r="E5" s="259">
        <v>257.60000000000002</v>
      </c>
    </row>
    <row r="6" spans="1:57" x14ac:dyDescent="0.2">
      <c r="A6">
        <v>3</v>
      </c>
      <c r="B6" t="s">
        <v>589</v>
      </c>
      <c r="F6" s="71">
        <f>'GPI Summary'!D33</f>
        <v>1.5447495252867751E-2</v>
      </c>
      <c r="G6" s="71">
        <f>'GPI Summary'!E33</f>
        <v>2.3277576699367612E-3</v>
      </c>
      <c r="H6" s="71">
        <f>'GPI Summary'!F33</f>
        <v>2.079731176629053E-2</v>
      </c>
      <c r="I6" s="71">
        <f>'GPI Summary'!G33</f>
        <v>9.4497648567928982E-3</v>
      </c>
      <c r="J6" s="71">
        <f>'GPI Summary'!H33</f>
        <v>0.1211823613324856</v>
      </c>
      <c r="K6" s="71">
        <f>'GPI Summary'!I33</f>
        <v>1.6452782612953874E-2</v>
      </c>
      <c r="L6" s="71">
        <f>'GPI Summary'!J33</f>
        <v>1.153400934799902E-2</v>
      </c>
      <c r="M6" s="71">
        <f>'GPI Summary'!K33</f>
        <v>2.9203476737260804E-3</v>
      </c>
      <c r="N6" s="71">
        <f>'GPI Summary'!L33</f>
        <v>6.1363912538671565E-2</v>
      </c>
      <c r="O6" s="71">
        <f>'GPI Summary'!M33</f>
        <v>3.1554484328389011E-2</v>
      </c>
      <c r="P6" s="71">
        <f>'GPI Summary'!N33</f>
        <v>4.4317276129531655E-3</v>
      </c>
      <c r="Q6" s="71">
        <f>'GPI Summary'!O33</f>
        <v>5.0929354339462407E-3</v>
      </c>
      <c r="R6" s="71">
        <f>'GPI Summary'!P33</f>
        <v>4.1353834099804664E-2</v>
      </c>
      <c r="S6" s="71">
        <f>'GPI Summary'!Q33</f>
        <v>2.0955006045043825E-2</v>
      </c>
      <c r="T6" s="71">
        <f>'GPI Summary'!R33</f>
        <v>9.8533905633412817E-3</v>
      </c>
      <c r="U6" s="71">
        <f>'GPI Summary'!S33</f>
        <v>9.2304631105173656E-3</v>
      </c>
      <c r="V6" s="71">
        <f>'GPI Summary'!T33</f>
        <v>1.4042611529421749E-2</v>
      </c>
      <c r="W6" s="71">
        <f>'GPI Summary'!U33</f>
        <v>1.4711334573903679E-2</v>
      </c>
      <c r="X6" s="71">
        <f>'GPI Summary'!V33</f>
        <v>4.2722743152660246E-3</v>
      </c>
      <c r="Y6" s="71">
        <f>'GPI Summary'!W33</f>
        <v>1.8778642986417196E-2</v>
      </c>
      <c r="Z6" s="71">
        <f>'GPI Summary'!X33</f>
        <v>2.1246514393038974E-2</v>
      </c>
      <c r="AA6" s="71">
        <f>'GPI Summary'!Y33</f>
        <v>3.1761389332452511E-2</v>
      </c>
      <c r="AB6" s="71">
        <f>'GPI Summary'!Z33</f>
        <v>1.719561277138559E-2</v>
      </c>
      <c r="AC6" s="71">
        <f>'GPI Summary'!AA33</f>
        <v>9.5747773998520417E-3</v>
      </c>
      <c r="AD6" s="71">
        <f>'GPI Summary'!AB33</f>
        <v>1.9323430766346086E-2</v>
      </c>
      <c r="AE6" s="71">
        <f>'GPI Summary'!AC33</f>
        <v>3.2082543741784302E-3</v>
      </c>
      <c r="AF6" s="71">
        <f>'GPI Summary'!AD33</f>
        <v>5.9241763922834242E-3</v>
      </c>
      <c r="AG6" s="71">
        <f>'GPI Summary'!AE33</f>
        <v>8.7469483594103115E-3</v>
      </c>
      <c r="AH6" s="71">
        <f>'GPI Summary'!AF33</f>
        <v>4.2377467352061908E-3</v>
      </c>
      <c r="AI6" s="71">
        <f>'GPI Summary'!AG33</f>
        <v>2.8410480773768697E-2</v>
      </c>
      <c r="AJ6" s="71">
        <f>'GPI Summary'!AH33</f>
        <v>6.6845099146217871E-3</v>
      </c>
      <c r="AK6" s="71">
        <f>'GPI Summary'!AI33</f>
        <v>6.2712452988369929E-2</v>
      </c>
      <c r="AL6" s="71">
        <f>'GPI Summary'!AJ33</f>
        <v>3.1035599468957651E-2</v>
      </c>
      <c r="AM6" s="71">
        <f>'GPI Summary'!AK33</f>
        <v>2.2019572664776308E-3</v>
      </c>
      <c r="AN6" s="71">
        <f>'GPI Summary'!AL33</f>
        <v>3.7113070984781379E-2</v>
      </c>
      <c r="AO6" s="71">
        <f>'GPI Summary'!AM33</f>
        <v>1.2168947652226817E-2</v>
      </c>
      <c r="AP6" s="71">
        <f>'GPI Summary'!AN33</f>
        <v>1.2439283457881093E-2</v>
      </c>
      <c r="AQ6" s="71">
        <f>'GPI Summary'!AO33</f>
        <v>4.0981436606906375E-2</v>
      </c>
      <c r="AR6" s="71">
        <f>'GPI Summary'!AP33</f>
        <v>3.3786219502229412E-3</v>
      </c>
      <c r="AS6" s="71">
        <f>'GPI Summary'!AQ33</f>
        <v>1.5028350304317994E-2</v>
      </c>
      <c r="AT6" s="71">
        <f>'GPI Summary'!AR33</f>
        <v>2.6484747363526469E-3</v>
      </c>
      <c r="AU6" s="71">
        <f>'GPI Summary'!AS33</f>
        <v>2.0580158145513738E-2</v>
      </c>
      <c r="AV6" s="71">
        <f>'GPI Summary'!AT33</f>
        <v>8.2425562724306262E-2</v>
      </c>
      <c r="AW6" s="71">
        <f>'GPI Summary'!AU33</f>
        <v>9.0502553188648548E-3</v>
      </c>
      <c r="AX6" s="71">
        <f>'GPI Summary'!AV33</f>
        <v>2.0149674438717639E-3</v>
      </c>
      <c r="AY6" s="71">
        <f>'GPI Summary'!AW33</f>
        <v>2.606172742811147E-2</v>
      </c>
      <c r="AZ6" s="71">
        <f>'GPI Summary'!AX33</f>
        <v>2.1941966807499231E-2</v>
      </c>
      <c r="BA6" s="71">
        <f>'GPI Summary'!AY33</f>
        <v>5.9649328931382552E-3</v>
      </c>
      <c r="BB6" s="71">
        <f>'GPI Summary'!AZ33</f>
        <v>1.8361466080989038E-2</v>
      </c>
      <c r="BC6" s="71">
        <f>'GPI Summary'!BA33</f>
        <v>1.8244788779386084E-3</v>
      </c>
      <c r="BE6" s="71"/>
    </row>
    <row r="8" spans="1:57" x14ac:dyDescent="0.2">
      <c r="B8" s="59" t="s">
        <v>579</v>
      </c>
    </row>
    <row r="9" spans="1:57" x14ac:dyDescent="0.2">
      <c r="A9">
        <v>1</v>
      </c>
      <c r="B9" t="s">
        <v>591</v>
      </c>
    </row>
    <row r="10" spans="1:57" x14ac:dyDescent="0.2">
      <c r="A10">
        <v>2</v>
      </c>
      <c r="B10" s="97" t="s">
        <v>590</v>
      </c>
      <c r="C10" t="s">
        <v>586</v>
      </c>
    </row>
    <row r="11" spans="1:57" x14ac:dyDescent="0.2">
      <c r="A11">
        <v>3</v>
      </c>
      <c r="B11" t="s">
        <v>592</v>
      </c>
    </row>
    <row r="18" spans="4:4" x14ac:dyDescent="0.2">
      <c r="D18" s="30"/>
    </row>
    <row r="19" spans="4:4" x14ac:dyDescent="0.2">
      <c r="D19" s="504"/>
    </row>
    <row r="20" spans="4:4" x14ac:dyDescent="0.2">
      <c r="D20" s="504"/>
    </row>
    <row r="21" spans="4:4" x14ac:dyDescent="0.2">
      <c r="D21" s="504"/>
    </row>
    <row r="22" spans="4:4" x14ac:dyDescent="0.2">
      <c r="D22" s="504"/>
    </row>
  </sheetData>
  <phoneticPr fontId="103" type="noConversion"/>
  <hyperlinks>
    <hyperlink ref="D5" r:id="rId1" location="reqid=9&amp;step=3&amp;isuri=1&amp;910=x&amp;911=0&amp;903=139&amp;904=1960&amp;905=2012&amp;906=q" display="http://www.bea.gov/iTable/iTable.cfm?reqid=9&amp;step=3&amp;isuri=1&amp;910=x&amp;911=0&amp;903=139&amp;904=1960&amp;905=2011&amp;906=q - reqid=9&amp;step=3&amp;isuri=1&amp;910=x&amp;911=0&amp;903=139&amp;904=1960&amp;905=2012&amp;906=q"/>
    <hyperlink ref="C6" r:id="rId2" location="reqid=9&amp;step=3&amp;isuri=1&amp;910=x&amp;911=0&amp;903=139&amp;904=1960&amp;905=2012&amp;906=q" display="http://www.bea.gov/iTable/iTable.cfm?reqid=9&amp;step=3&amp;isuri=1&amp;910=x&amp;911=0&amp;903=139&amp;904=1960&amp;905=2011&amp;906=q - reqid=9&amp;step=3&amp;isuri=1&amp;910=x&amp;911=0&amp;903=139&amp;904=1960&amp;905=2012&amp;906=q"/>
    <hyperlink ref="D6" r:id="rId3" location="reqid=9&amp;step=3&amp;isuri=1&amp;910=x&amp;911=0&amp;903=139&amp;904=1960&amp;905=2012&amp;906=q" display="http://www.bea.gov/iTable/iTable.cfm?reqid=9&amp;step=3&amp;isuri=1&amp;910=x&amp;911=0&amp;903=139&amp;904=1960&amp;905=2011&amp;906=q - reqid=9&amp;step=3&amp;isuri=1&amp;910=x&amp;911=0&amp;903=139&amp;904=1960&amp;905=2012&amp;906=q"/>
    <hyperlink ref="B7" r:id="rId4" location="reqid=9&amp;step=3&amp;isuri=1&amp;910=x&amp;911=0&amp;903=139&amp;904=1960&amp;905=2012&amp;906=q" display="http://www.bea.gov/iTable/iTable.cfm?reqid=9&amp;step=3&amp;isuri=1&amp;910=x&amp;911=0&amp;903=139&amp;904=1960&amp;905=2011&amp;906=q - reqid=9&amp;step=3&amp;isuri=1&amp;910=x&amp;911=0&amp;903=139&amp;904=1960&amp;905=2012&amp;906=q"/>
    <hyperlink ref="C7" r:id="rId5" location="reqid=9&amp;step=3&amp;isuri=1&amp;910=x&amp;911=0&amp;903=139&amp;904=1960&amp;905=2012&amp;906=q" display="http://www.bea.gov/iTable/iTable.cfm?reqid=9&amp;step=3&amp;isuri=1&amp;910=x&amp;911=0&amp;903=139&amp;904=1960&amp;905=2011&amp;906=q - reqid=9&amp;step=3&amp;isuri=1&amp;910=x&amp;911=0&amp;903=139&amp;904=1960&amp;905=2012&amp;906=q"/>
    <hyperlink ref="D7" r:id="rId6" location="reqid=9&amp;step=3&amp;isuri=1&amp;910=x&amp;911=0&amp;903=139&amp;904=1960&amp;905=2012&amp;906=q" display="http://www.bea.gov/iTable/iTable.cfm?reqid=9&amp;step=3&amp;isuri=1&amp;910=x&amp;911=0&amp;903=139&amp;904=1960&amp;905=2011&amp;906=q - reqid=9&amp;step=3&amp;isuri=1&amp;910=x&amp;911=0&amp;903=139&amp;904=1960&amp;905=2012&amp;906=q"/>
    <hyperlink ref="B10" r:id="rId7" location="reqid=9&amp;step=3&amp;isuri=1&amp;910=x&amp;911=0&amp;903=139&amp;904=1960&amp;905=2012&amp;906=q"/>
  </hyperlinks>
  <pageMargins left="0.75" right="0.75" top="1" bottom="1"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4"/>
  <sheetViews>
    <sheetView workbookViewId="0">
      <selection activeCell="K1" sqref="K1:BA1"/>
    </sheetView>
  </sheetViews>
  <sheetFormatPr baseColWidth="10" defaultColWidth="8.83203125" defaultRowHeight="16" x14ac:dyDescent="0.2"/>
  <cols>
    <col min="2" max="2" width="58" customWidth="1"/>
    <col min="3" max="3" width="11.83203125" customWidth="1"/>
    <col min="4" max="53" width="10.1640625" customWidth="1"/>
  </cols>
  <sheetData>
    <row r="1" spans="1:56" x14ac:dyDescent="0.2">
      <c r="B1">
        <v>2011</v>
      </c>
      <c r="C1" s="6"/>
      <c r="D1" s="3">
        <v>1</v>
      </c>
      <c r="E1" s="3">
        <f>D1+1</f>
        <v>2</v>
      </c>
      <c r="F1" s="3">
        <f t="shared" ref="F1:K1" si="0">E1+1</f>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B1" s="3"/>
      <c r="BC1" s="19"/>
      <c r="BD1" s="20"/>
    </row>
    <row r="2" spans="1:56" x14ac:dyDescent="0.2">
      <c r="C2" s="24" t="s">
        <v>95</v>
      </c>
      <c r="D2" s="25" t="s">
        <v>144</v>
      </c>
      <c r="E2" s="25" t="s">
        <v>145</v>
      </c>
      <c r="F2" s="25" t="s">
        <v>146</v>
      </c>
      <c r="G2" s="25" t="s">
        <v>147</v>
      </c>
      <c r="H2" s="25" t="s">
        <v>148</v>
      </c>
      <c r="I2" s="25" t="s">
        <v>149</v>
      </c>
      <c r="J2" s="25" t="s">
        <v>150</v>
      </c>
      <c r="K2" s="136" t="s">
        <v>177</v>
      </c>
      <c r="L2" s="25" t="s">
        <v>152</v>
      </c>
      <c r="M2" s="25" t="s">
        <v>153</v>
      </c>
      <c r="N2" s="25" t="s">
        <v>154</v>
      </c>
      <c r="O2" s="25" t="s">
        <v>155</v>
      </c>
      <c r="P2" s="25" t="s">
        <v>156</v>
      </c>
      <c r="Q2" s="25" t="s">
        <v>2</v>
      </c>
      <c r="R2" s="25" t="s">
        <v>3</v>
      </c>
      <c r="S2" s="25" t="s">
        <v>4</v>
      </c>
      <c r="T2" s="25" t="s">
        <v>5</v>
      </c>
      <c r="U2" s="25" t="s">
        <v>6</v>
      </c>
      <c r="V2" s="25" t="s">
        <v>7</v>
      </c>
      <c r="W2" s="25" t="s">
        <v>8</v>
      </c>
      <c r="X2" s="25" t="s">
        <v>9</v>
      </c>
      <c r="Y2" s="25" t="s">
        <v>10</v>
      </c>
      <c r="Z2" s="25" t="s">
        <v>11</v>
      </c>
      <c r="AA2" s="25" t="s">
        <v>12</v>
      </c>
      <c r="AB2" s="25" t="s">
        <v>13</v>
      </c>
      <c r="AC2" s="25" t="s">
        <v>14</v>
      </c>
      <c r="AD2" s="25" t="s">
        <v>15</v>
      </c>
      <c r="AE2" s="25" t="s">
        <v>16</v>
      </c>
      <c r="AF2" s="25" t="s">
        <v>17</v>
      </c>
      <c r="AG2" s="25" t="s">
        <v>18</v>
      </c>
      <c r="AH2" s="25" t="s">
        <v>19</v>
      </c>
      <c r="AI2" s="25" t="s">
        <v>20</v>
      </c>
      <c r="AJ2" s="25" t="s">
        <v>21</v>
      </c>
      <c r="AK2" s="25" t="s">
        <v>22</v>
      </c>
      <c r="AL2" s="25" t="s">
        <v>23</v>
      </c>
      <c r="AM2" s="25" t="s">
        <v>24</v>
      </c>
      <c r="AN2" s="25" t="s">
        <v>25</v>
      </c>
      <c r="AO2" s="25" t="s">
        <v>26</v>
      </c>
      <c r="AP2" s="25" t="s">
        <v>27</v>
      </c>
      <c r="AQ2" s="25" t="s">
        <v>28</v>
      </c>
      <c r="AR2" s="25" t="s">
        <v>29</v>
      </c>
      <c r="AS2" s="25" t="s">
        <v>30</v>
      </c>
      <c r="AT2" s="25" t="s">
        <v>31</v>
      </c>
      <c r="AU2" s="25" t="s">
        <v>32</v>
      </c>
      <c r="AV2" s="25" t="s">
        <v>33</v>
      </c>
      <c r="AW2" s="25" t="s">
        <v>34</v>
      </c>
      <c r="AX2" s="25" t="s">
        <v>35</v>
      </c>
      <c r="AY2" s="25" t="s">
        <v>36</v>
      </c>
      <c r="AZ2" s="25" t="s">
        <v>37</v>
      </c>
      <c r="BA2" s="25" t="s">
        <v>38</v>
      </c>
      <c r="BB2" s="26"/>
      <c r="BC2" s="19"/>
      <c r="BD2" s="20"/>
    </row>
    <row r="3" spans="1:56" x14ac:dyDescent="0.2">
      <c r="C3" s="24" t="s">
        <v>96</v>
      </c>
      <c r="D3" s="26" t="s">
        <v>39</v>
      </c>
      <c r="E3" s="26" t="s">
        <v>40</v>
      </c>
      <c r="F3" s="26" t="s">
        <v>41</v>
      </c>
      <c r="G3" s="26" t="s">
        <v>42</v>
      </c>
      <c r="H3" s="26" t="s">
        <v>43</v>
      </c>
      <c r="I3" s="26" t="s">
        <v>44</v>
      </c>
      <c r="J3" s="26" t="s">
        <v>45</v>
      </c>
      <c r="K3" s="26" t="s">
        <v>46</v>
      </c>
      <c r="L3" s="26" t="s">
        <v>47</v>
      </c>
      <c r="M3" s="26" t="s">
        <v>48</v>
      </c>
      <c r="N3" s="26" t="s">
        <v>49</v>
      </c>
      <c r="O3" s="26" t="s">
        <v>50</v>
      </c>
      <c r="P3" s="26" t="s">
        <v>51</v>
      </c>
      <c r="Q3" s="26" t="s">
        <v>52</v>
      </c>
      <c r="R3" s="26" t="s">
        <v>53</v>
      </c>
      <c r="S3" s="26" t="s">
        <v>54</v>
      </c>
      <c r="T3" s="26" t="s">
        <v>55</v>
      </c>
      <c r="U3" s="26" t="s">
        <v>56</v>
      </c>
      <c r="V3" s="26" t="s">
        <v>57</v>
      </c>
      <c r="W3" s="26" t="s">
        <v>58</v>
      </c>
      <c r="X3" s="26" t="s">
        <v>59</v>
      </c>
      <c r="Y3" s="26" t="s">
        <v>60</v>
      </c>
      <c r="Z3" s="26" t="s">
        <v>61</v>
      </c>
      <c r="AA3" s="26" t="s">
        <v>62</v>
      </c>
      <c r="AB3" s="26" t="s">
        <v>63</v>
      </c>
      <c r="AC3" s="26" t="s">
        <v>64</v>
      </c>
      <c r="AD3" s="26" t="s">
        <v>65</v>
      </c>
      <c r="AE3" s="26" t="s">
        <v>66</v>
      </c>
      <c r="AF3" s="26" t="s">
        <v>67</v>
      </c>
      <c r="AG3" s="26" t="s">
        <v>68</v>
      </c>
      <c r="AH3" s="26" t="s">
        <v>69</v>
      </c>
      <c r="AI3" s="26" t="s">
        <v>70</v>
      </c>
      <c r="AJ3" s="26" t="s">
        <v>71</v>
      </c>
      <c r="AK3" s="26" t="s">
        <v>72</v>
      </c>
      <c r="AL3" s="26" t="s">
        <v>73</v>
      </c>
      <c r="AM3" s="26" t="s">
        <v>74</v>
      </c>
      <c r="AN3" s="26" t="s">
        <v>75</v>
      </c>
      <c r="AO3" s="26" t="s">
        <v>76</v>
      </c>
      <c r="AP3" s="26" t="s">
        <v>77</v>
      </c>
      <c r="AQ3" s="26" t="s">
        <v>78</v>
      </c>
      <c r="AR3" s="26" t="s">
        <v>79</v>
      </c>
      <c r="AS3" s="26" t="s">
        <v>80</v>
      </c>
      <c r="AT3" s="26" t="s">
        <v>81</v>
      </c>
      <c r="AU3" s="26" t="s">
        <v>82</v>
      </c>
      <c r="AV3" s="26" t="s">
        <v>83</v>
      </c>
      <c r="AW3" s="26" t="s">
        <v>84</v>
      </c>
      <c r="AX3" s="26" t="s">
        <v>85</v>
      </c>
      <c r="AY3" s="26" t="s">
        <v>86</v>
      </c>
      <c r="AZ3" s="26" t="s">
        <v>87</v>
      </c>
      <c r="BA3" s="26" t="s">
        <v>88</v>
      </c>
    </row>
    <row r="4" spans="1:56" x14ac:dyDescent="0.2">
      <c r="A4">
        <v>1</v>
      </c>
      <c r="B4" s="243" t="s">
        <v>109</v>
      </c>
      <c r="C4" s="246">
        <f>SUM(D4:BA4)</f>
        <v>44.506424763824022</v>
      </c>
      <c r="D4" s="262">
        <f>D11*D12*$C13/1000000000</f>
        <v>0.28423349914053125</v>
      </c>
      <c r="E4" s="262">
        <f t="shared" ref="E4:BA4" si="43">E11*E12*$C13/1000000000</f>
        <v>9.3704753902724883E-2</v>
      </c>
      <c r="F4" s="262">
        <f t="shared" si="43"/>
        <v>0.48557394627637535</v>
      </c>
      <c r="G4" s="262">
        <f t="shared" si="43"/>
        <v>0.32075318410724057</v>
      </c>
      <c r="H4" s="262">
        <f t="shared" si="43"/>
        <v>7.8547501719197399</v>
      </c>
      <c r="I4" s="262">
        <f t="shared" si="43"/>
        <v>0.38515145295087605</v>
      </c>
      <c r="J4" s="262">
        <f t="shared" si="43"/>
        <v>0.24602475828269166</v>
      </c>
      <c r="K4" s="262">
        <f t="shared" si="43"/>
        <v>0.19859180430045681</v>
      </c>
      <c r="L4" s="262">
        <f t="shared" si="43"/>
        <v>3.6190535270519777</v>
      </c>
      <c r="M4" s="262">
        <f t="shared" si="43"/>
        <v>0.96046201453315583</v>
      </c>
      <c r="N4" s="262">
        <f t="shared" si="43"/>
        <v>0.30657857734000005</v>
      </c>
      <c r="O4" s="262">
        <f t="shared" si="43"/>
        <v>0.25912240686009008</v>
      </c>
      <c r="P4" s="262">
        <f t="shared" si="43"/>
        <v>2.2020011575289211</v>
      </c>
      <c r="Q4" s="262">
        <f t="shared" si="43"/>
        <v>1.1934062679167614</v>
      </c>
      <c r="R4" s="262">
        <f t="shared" si="43"/>
        <v>0.55997416491257801</v>
      </c>
      <c r="S4" s="262">
        <f t="shared" si="43"/>
        <v>0.5926958684908048</v>
      </c>
      <c r="T4" s="262">
        <f t="shared" si="43"/>
        <v>0.50746960225852589</v>
      </c>
      <c r="U4" s="262">
        <f t="shared" si="43"/>
        <v>0.85005361145703029</v>
      </c>
      <c r="V4" s="262">
        <f t="shared" si="43"/>
        <v>1.830786508959192E-2</v>
      </c>
      <c r="W4" s="262">
        <f t="shared" si="43"/>
        <v>0.87432259291972203</v>
      </c>
      <c r="X4" s="262">
        <f t="shared" si="43"/>
        <v>1.1856337178691241</v>
      </c>
      <c r="Y4" s="262">
        <f t="shared" si="43"/>
        <v>1.1640482655702953</v>
      </c>
      <c r="Z4" s="262">
        <f t="shared" si="43"/>
        <v>1.0402708789536472</v>
      </c>
      <c r="AA4" s="262">
        <f t="shared" si="43"/>
        <v>0.51878446584428861</v>
      </c>
      <c r="AB4" s="262">
        <f t="shared" si="43"/>
        <v>0.53725873482483721</v>
      </c>
      <c r="AC4" s="262">
        <f t="shared" si="43"/>
        <v>0.19058136045007587</v>
      </c>
      <c r="AD4" s="262">
        <f t="shared" si="43"/>
        <v>0.29906094892301843</v>
      </c>
      <c r="AE4" s="262">
        <f t="shared" si="43"/>
        <v>0.43939569630840286</v>
      </c>
      <c r="AF4" s="262">
        <f t="shared" si="43"/>
        <v>0.29315934522000003</v>
      </c>
      <c r="AG4" s="262">
        <f>AG11*AG12*$C13/1000000000</f>
        <v>1.8155542868577164</v>
      </c>
      <c r="AH4" s="262">
        <f t="shared" si="43"/>
        <v>0.33976826553304662</v>
      </c>
      <c r="AI4" s="262">
        <f t="shared" si="43"/>
        <v>1.8154802625703845</v>
      </c>
      <c r="AJ4" s="262">
        <f t="shared" si="43"/>
        <v>1.0712334129205567</v>
      </c>
      <c r="AK4" s="262">
        <f t="shared" si="43"/>
        <v>5.9184527564595399E-2</v>
      </c>
      <c r="AL4" s="262">
        <f t="shared" si="43"/>
        <v>2.5231810323853652</v>
      </c>
      <c r="AM4" s="262">
        <f t="shared" si="43"/>
        <v>0.74685764685269795</v>
      </c>
      <c r="AN4" s="262">
        <f t="shared" si="43"/>
        <v>0.70643990696043435</v>
      </c>
      <c r="AO4" s="262">
        <f t="shared" si="43"/>
        <v>0.51988253156182118</v>
      </c>
      <c r="AP4" s="262">
        <f t="shared" si="43"/>
        <v>0.11160099449084974</v>
      </c>
      <c r="AQ4" s="262">
        <f t="shared" si="43"/>
        <v>0.47841607709888112</v>
      </c>
      <c r="AR4" s="262">
        <f t="shared" si="43"/>
        <v>8.1613639851666392E-2</v>
      </c>
      <c r="AS4" s="262">
        <f t="shared" si="43"/>
        <v>0.52893970815824287</v>
      </c>
      <c r="AT4" s="262">
        <f t="shared" si="43"/>
        <v>2.3454127781781184</v>
      </c>
      <c r="AU4" s="262">
        <f t="shared" si="43"/>
        <v>0.20836105407109307</v>
      </c>
      <c r="AV4" s="262">
        <f t="shared" si="43"/>
        <v>6.5055236284870935E-2</v>
      </c>
      <c r="AW4" s="262">
        <f t="shared" si="43"/>
        <v>1.3885637851686983</v>
      </c>
      <c r="AX4" s="262">
        <f t="shared" si="43"/>
        <v>1.1218485110977927</v>
      </c>
      <c r="AY4" s="262">
        <f t="shared" si="43"/>
        <v>0.23174122147617673</v>
      </c>
      <c r="AZ4" s="262">
        <f t="shared" si="43"/>
        <v>0.84070071178177319</v>
      </c>
      <c r="BA4" s="262">
        <f t="shared" si="43"/>
        <v>2.6164531755768806E-2</v>
      </c>
    </row>
    <row r="5" spans="1:56" x14ac:dyDescent="0.2">
      <c r="A5">
        <v>2</v>
      </c>
      <c r="B5" s="247" t="s">
        <v>721</v>
      </c>
      <c r="D5" s="261">
        <v>3060.8</v>
      </c>
      <c r="E5" s="261">
        <v>443.4</v>
      </c>
      <c r="F5" s="261">
        <v>1016.6</v>
      </c>
      <c r="G5" s="261">
        <v>4436.8</v>
      </c>
      <c r="H5" s="261">
        <v>29874.6</v>
      </c>
      <c r="I5" s="261">
        <v>11135.4</v>
      </c>
      <c r="J5" s="261">
        <v>1046.5999999999999</v>
      </c>
      <c r="K5" s="261">
        <v>2497.3000000000002</v>
      </c>
      <c r="L5" s="261">
        <v>8418.1</v>
      </c>
      <c r="M5" s="261">
        <v>7783</v>
      </c>
      <c r="N5" s="261">
        <v>9.1</v>
      </c>
      <c r="O5" s="261">
        <v>33983.699999999997</v>
      </c>
      <c r="P5" s="261">
        <v>9611.2000000000007</v>
      </c>
      <c r="Q5" s="261">
        <v>16554.3</v>
      </c>
      <c r="R5" s="261">
        <v>7702.5</v>
      </c>
      <c r="S5" s="261">
        <v>25755.8</v>
      </c>
      <c r="T5" s="261">
        <v>6877.5</v>
      </c>
      <c r="U5" s="261">
        <v>6912.3</v>
      </c>
      <c r="V5" s="261">
        <v>1165.2</v>
      </c>
      <c r="W5" s="261">
        <v>3796.4</v>
      </c>
      <c r="X5" s="261">
        <v>1798.2</v>
      </c>
      <c r="Y5" s="261">
        <v>53723.3</v>
      </c>
      <c r="Z5" s="261">
        <v>11559.1</v>
      </c>
      <c r="AA5" s="261">
        <v>2182.8000000000002</v>
      </c>
      <c r="AB5" s="261">
        <v>5412.6</v>
      </c>
      <c r="AC5" s="261">
        <v>17263.3</v>
      </c>
      <c r="AD5" s="261">
        <v>5561.2</v>
      </c>
      <c r="AE5" s="261">
        <v>2804.3</v>
      </c>
      <c r="AF5" s="261">
        <v>16896.3</v>
      </c>
      <c r="AG5" s="261">
        <v>17088</v>
      </c>
      <c r="AH5" s="261">
        <v>4003.6</v>
      </c>
      <c r="AI5" s="261">
        <v>6676</v>
      </c>
      <c r="AJ5" s="261">
        <v>3791.1</v>
      </c>
      <c r="AK5" s="261">
        <v>3173.8</v>
      </c>
      <c r="AL5" s="261">
        <v>50771.199999999997</v>
      </c>
      <c r="AM5" s="261">
        <v>10175.6</v>
      </c>
      <c r="AN5" s="261">
        <v>31059.599999999999</v>
      </c>
      <c r="AO5" s="261">
        <v>16347</v>
      </c>
      <c r="AP5" s="261">
        <v>550.9</v>
      </c>
      <c r="AQ5" s="261">
        <v>3565.9</v>
      </c>
      <c r="AR5" s="261">
        <v>3758.4</v>
      </c>
      <c r="AS5" s="261">
        <v>12914.6</v>
      </c>
      <c r="AT5" s="261">
        <v>10320.700000000001</v>
      </c>
      <c r="AU5" s="261">
        <v>3618.5</v>
      </c>
      <c r="AV5" s="261">
        <v>400.6</v>
      </c>
      <c r="AW5" s="261">
        <v>12101.3</v>
      </c>
      <c r="AX5" s="261">
        <v>1590.9</v>
      </c>
      <c r="AY5" s="261">
        <v>11602.7</v>
      </c>
      <c r="AZ5" s="261">
        <v>9199.1</v>
      </c>
      <c r="BA5" s="261">
        <v>1423.2</v>
      </c>
    </row>
    <row r="6" spans="1:56" x14ac:dyDescent="0.2">
      <c r="A6">
        <f>A5+1</f>
        <v>3</v>
      </c>
      <c r="B6" s="247" t="s">
        <v>723</v>
      </c>
      <c r="D6" s="261">
        <v>10913.4</v>
      </c>
      <c r="E6" s="261">
        <v>601.79999999999995</v>
      </c>
      <c r="F6" s="261">
        <v>2764.4</v>
      </c>
      <c r="G6" s="261">
        <v>9979.4</v>
      </c>
      <c r="H6" s="261">
        <v>33369.599999999999</v>
      </c>
      <c r="I6" s="261">
        <v>59638.8</v>
      </c>
      <c r="J6" s="261">
        <v>2538.4</v>
      </c>
      <c r="K6" s="261">
        <v>2506.1</v>
      </c>
      <c r="L6" s="261">
        <v>10476</v>
      </c>
      <c r="M6" s="261">
        <v>13393</v>
      </c>
      <c r="N6" s="261">
        <v>9.1</v>
      </c>
      <c r="O6" s="261">
        <v>61925.8</v>
      </c>
      <c r="P6" s="261">
        <v>17010</v>
      </c>
      <c r="Q6" s="261">
        <v>23970.1</v>
      </c>
      <c r="R6" s="261">
        <v>9997.9</v>
      </c>
      <c r="S6" s="261">
        <v>29334.6</v>
      </c>
      <c r="T6" s="261">
        <v>10773.9</v>
      </c>
      <c r="U6" s="261">
        <v>9480.5</v>
      </c>
      <c r="V6" s="261">
        <v>30897.4</v>
      </c>
      <c r="W6" s="261">
        <v>6330.6</v>
      </c>
      <c r="X6" s="261">
        <v>2816.4</v>
      </c>
      <c r="Y6" s="261">
        <v>76439.100000000006</v>
      </c>
      <c r="Z6" s="261">
        <v>14558.3</v>
      </c>
      <c r="AA6" s="261">
        <v>3853.4</v>
      </c>
      <c r="AB6" s="261">
        <v>10189.5</v>
      </c>
      <c r="AC6" s="261">
        <v>20285.8</v>
      </c>
      <c r="AD6" s="261">
        <v>9261.4</v>
      </c>
      <c r="AE6" s="261">
        <v>5199.5</v>
      </c>
      <c r="AF6" s="261">
        <v>16896.3</v>
      </c>
      <c r="AG6" s="261">
        <v>18974.2</v>
      </c>
      <c r="AH6" s="261">
        <v>6340.8</v>
      </c>
      <c r="AI6" s="261">
        <v>27280.2</v>
      </c>
      <c r="AJ6" s="261">
        <v>12079.6</v>
      </c>
      <c r="AK6" s="261">
        <v>54606.2</v>
      </c>
      <c r="AL6" s="261">
        <v>52583</v>
      </c>
      <c r="AM6" s="261">
        <v>12473.4</v>
      </c>
      <c r="AN6" s="261">
        <v>46035.7</v>
      </c>
      <c r="AO6" s="261">
        <v>86033.5</v>
      </c>
      <c r="AP6" s="261">
        <v>917.5</v>
      </c>
      <c r="AQ6" s="261">
        <v>5378.4</v>
      </c>
      <c r="AR6" s="261">
        <v>6388</v>
      </c>
      <c r="AS6" s="261">
        <v>30628.9</v>
      </c>
      <c r="AT6" s="261">
        <v>23546.400000000001</v>
      </c>
      <c r="AU6" s="261">
        <v>10619.6</v>
      </c>
      <c r="AV6" s="261">
        <v>5861.2</v>
      </c>
      <c r="AW6" s="261">
        <v>17728.400000000001</v>
      </c>
      <c r="AX6" s="261">
        <v>1997.4</v>
      </c>
      <c r="AY6" s="261">
        <v>18817.5</v>
      </c>
      <c r="AZ6" s="261">
        <v>15132</v>
      </c>
      <c r="BA6" s="261">
        <v>17513</v>
      </c>
    </row>
    <row r="7" spans="1:56" x14ac:dyDescent="0.2">
      <c r="A7">
        <f t="shared" ref="A7:A13" si="44">A6+1</f>
        <v>4</v>
      </c>
      <c r="B7" s="247" t="s">
        <v>724</v>
      </c>
      <c r="D7" s="261">
        <v>109089.4</v>
      </c>
      <c r="E7" s="261">
        <v>2554.1</v>
      </c>
      <c r="F7" s="261">
        <v>35327.599999999999</v>
      </c>
      <c r="G7" s="261">
        <v>34768</v>
      </c>
      <c r="H7" s="261">
        <v>1280.0999999999999</v>
      </c>
      <c r="I7" s="261">
        <v>76157</v>
      </c>
      <c r="J7" s="261">
        <v>6220.6</v>
      </c>
      <c r="K7" s="261">
        <v>2863.9</v>
      </c>
      <c r="L7" s="261">
        <v>1013660.6</v>
      </c>
      <c r="M7" s="261">
        <v>104418</v>
      </c>
      <c r="N7" s="261">
        <v>35.799999999999997</v>
      </c>
      <c r="O7" s="261">
        <v>261069.6</v>
      </c>
      <c r="P7" s="261">
        <v>144226.29999999999</v>
      </c>
      <c r="Q7" s="261">
        <v>220886.6</v>
      </c>
      <c r="R7" s="261">
        <v>78991.7</v>
      </c>
      <c r="S7" s="261">
        <v>250429</v>
      </c>
      <c r="T7" s="261">
        <v>89177.600000000006</v>
      </c>
      <c r="U7" s="261">
        <v>629671</v>
      </c>
      <c r="V7" s="261">
        <v>85497</v>
      </c>
      <c r="W7" s="261">
        <v>13939.3</v>
      </c>
      <c r="X7" s="261">
        <v>84060.6</v>
      </c>
      <c r="Y7" s="261">
        <v>311152.2</v>
      </c>
      <c r="Z7" s="261">
        <v>3589335.5</v>
      </c>
      <c r="AA7" s="261">
        <v>36806.9</v>
      </c>
      <c r="AB7" s="261">
        <v>69739</v>
      </c>
      <c r="AC7" s="261">
        <v>489975.5</v>
      </c>
      <c r="AD7" s="261">
        <v>119693.9</v>
      </c>
      <c r="AE7" s="261">
        <v>208966.5</v>
      </c>
      <c r="AF7" s="261">
        <v>185272.5</v>
      </c>
      <c r="AG7" s="261">
        <v>45307.5</v>
      </c>
      <c r="AH7" s="261">
        <v>60832.800000000003</v>
      </c>
      <c r="AI7" s="261">
        <v>317233</v>
      </c>
      <c r="AJ7" s="261">
        <v>120711.7</v>
      </c>
      <c r="AK7" s="261">
        <v>497346.5</v>
      </c>
      <c r="AL7" s="261">
        <v>21134</v>
      </c>
      <c r="AM7" s="261">
        <v>579559.5</v>
      </c>
      <c r="AN7" s="261">
        <v>133818.9</v>
      </c>
      <c r="AO7" s="261">
        <v>9416.7999999999993</v>
      </c>
      <c r="AP7" s="261">
        <v>56.3</v>
      </c>
      <c r="AQ7" s="261">
        <v>32785.800000000003</v>
      </c>
      <c r="AR7" s="261">
        <v>41355.599999999999</v>
      </c>
      <c r="AS7" s="261">
        <v>181767.7</v>
      </c>
      <c r="AT7" s="261">
        <v>561908.69999999995</v>
      </c>
      <c r="AU7" s="261">
        <v>152323</v>
      </c>
      <c r="AV7" s="261">
        <v>198753</v>
      </c>
      <c r="AW7" s="261">
        <v>96650.9</v>
      </c>
      <c r="AX7" s="261">
        <v>316656</v>
      </c>
      <c r="AY7" s="261">
        <v>6687</v>
      </c>
      <c r="AZ7" s="261">
        <v>485387.5</v>
      </c>
      <c r="BA7" s="261">
        <v>6237.8</v>
      </c>
    </row>
    <row r="8" spans="1:56" x14ac:dyDescent="0.2">
      <c r="A8">
        <f t="shared" si="44"/>
        <v>5</v>
      </c>
      <c r="B8" s="247" t="s">
        <v>725</v>
      </c>
      <c r="D8" s="261">
        <v>433760.6</v>
      </c>
      <c r="E8" s="261">
        <v>5981.1</v>
      </c>
      <c r="F8" s="261">
        <v>114975.6</v>
      </c>
      <c r="G8" s="261">
        <v>64778</v>
      </c>
      <c r="H8" s="261">
        <v>1308</v>
      </c>
      <c r="I8" s="261">
        <v>155398.6</v>
      </c>
      <c r="J8" s="261">
        <v>30437.5</v>
      </c>
      <c r="K8" s="261">
        <v>2953.9</v>
      </c>
      <c r="L8" s="261">
        <v>1124398.8</v>
      </c>
      <c r="M8" s="261">
        <v>349375</v>
      </c>
      <c r="N8" s="261">
        <v>35.799999999999997</v>
      </c>
      <c r="O8" s="261">
        <v>283103.7</v>
      </c>
      <c r="P8" s="261">
        <v>148014.20000000001</v>
      </c>
      <c r="Q8" s="261">
        <v>231082.6</v>
      </c>
      <c r="R8" s="261">
        <v>90523.4</v>
      </c>
      <c r="S8" s="261">
        <v>255960</v>
      </c>
      <c r="T8" s="261">
        <v>219417.8</v>
      </c>
      <c r="U8" s="261">
        <v>668847</v>
      </c>
      <c r="V8" s="261">
        <v>992085</v>
      </c>
      <c r="W8" s="261">
        <v>18675.8</v>
      </c>
      <c r="X8" s="261">
        <v>86228.5</v>
      </c>
      <c r="Y8" s="261">
        <v>872179</v>
      </c>
      <c r="Z8" s="261">
        <v>3758411.5</v>
      </c>
      <c r="AA8" s="261">
        <v>36806.9</v>
      </c>
      <c r="AB8" s="261">
        <v>255801.60000000001</v>
      </c>
      <c r="AC8" s="261">
        <v>565529.4</v>
      </c>
      <c r="AD8" s="261">
        <v>139342.29999999999</v>
      </c>
      <c r="AE8" s="261">
        <v>228885.6</v>
      </c>
      <c r="AF8" s="261">
        <v>185272.5</v>
      </c>
      <c r="AG8" s="261">
        <v>47846.2</v>
      </c>
      <c r="AH8" s="261">
        <v>72583</v>
      </c>
      <c r="AI8" s="261">
        <v>535659</v>
      </c>
      <c r="AJ8" s="261">
        <v>176465.5</v>
      </c>
      <c r="AK8" s="261">
        <v>691768.7</v>
      </c>
      <c r="AL8" s="261">
        <v>21134</v>
      </c>
      <c r="AM8" s="261">
        <v>604593.5</v>
      </c>
      <c r="AN8" s="261">
        <v>138357.9</v>
      </c>
      <c r="AO8" s="261">
        <v>53277.4</v>
      </c>
      <c r="AP8" s="261">
        <v>158.80000000000001</v>
      </c>
      <c r="AQ8" s="261">
        <v>127396.8</v>
      </c>
      <c r="AR8" s="261">
        <v>136692.29999999999</v>
      </c>
      <c r="AS8" s="261">
        <v>565543.4</v>
      </c>
      <c r="AT8" s="261">
        <v>1461996.6</v>
      </c>
      <c r="AU8" s="261">
        <v>468877</v>
      </c>
      <c r="AV8" s="261">
        <v>229754</v>
      </c>
      <c r="AW8" s="261">
        <v>112676.7</v>
      </c>
      <c r="AX8" s="261">
        <v>464530.2</v>
      </c>
      <c r="AY8" s="261">
        <v>13199.4</v>
      </c>
      <c r="AZ8" s="261">
        <v>678110.7</v>
      </c>
      <c r="BA8" s="261">
        <v>18713</v>
      </c>
    </row>
    <row r="9" spans="1:56" x14ac:dyDescent="0.2">
      <c r="A9">
        <f t="shared" si="44"/>
        <v>6</v>
      </c>
      <c r="B9" t="s">
        <v>726</v>
      </c>
      <c r="D9" s="71">
        <f>D5/D6</f>
        <v>0.28046255062583614</v>
      </c>
      <c r="E9" s="71">
        <f t="shared" ref="E9:BA9" si="45">E5/E6</f>
        <v>0.73678963110667994</v>
      </c>
      <c r="F9" s="71">
        <f t="shared" si="45"/>
        <v>0.36774706988858341</v>
      </c>
      <c r="G9" s="71">
        <f t="shared" si="45"/>
        <v>0.44459586748702329</v>
      </c>
      <c r="H9" s="71">
        <f t="shared" si="45"/>
        <v>0.89526395281933258</v>
      </c>
      <c r="I9" s="71">
        <f t="shared" si="45"/>
        <v>0.18671401839071208</v>
      </c>
      <c r="J9" s="71">
        <f t="shared" si="45"/>
        <v>0.41230696501733372</v>
      </c>
      <c r="K9" s="71">
        <f t="shared" si="45"/>
        <v>0.99648856789433793</v>
      </c>
      <c r="L9" s="71">
        <f t="shared" si="45"/>
        <v>0.80356051928216876</v>
      </c>
      <c r="M9" s="71">
        <f t="shared" si="45"/>
        <v>0.58112446800567463</v>
      </c>
      <c r="N9" s="71">
        <f t="shared" si="45"/>
        <v>1</v>
      </c>
      <c r="O9" s="71">
        <f t="shared" si="45"/>
        <v>0.548780960439752</v>
      </c>
      <c r="P9" s="71">
        <f t="shared" si="45"/>
        <v>0.56503233392122287</v>
      </c>
      <c r="Q9" s="71">
        <f t="shared" si="45"/>
        <v>0.69062290103086765</v>
      </c>
      <c r="R9" s="71">
        <f t="shared" si="45"/>
        <v>0.77041178647515984</v>
      </c>
      <c r="S9" s="71">
        <f t="shared" si="45"/>
        <v>0.87800072269606544</v>
      </c>
      <c r="T9" s="71">
        <f t="shared" si="45"/>
        <v>0.63834823044579958</v>
      </c>
      <c r="U9" s="71">
        <f t="shared" si="45"/>
        <v>0.72910711460366018</v>
      </c>
      <c r="V9" s="71">
        <f t="shared" si="45"/>
        <v>3.7711911034585432E-2</v>
      </c>
      <c r="W9" s="71">
        <f t="shared" si="45"/>
        <v>0.59969039269579505</v>
      </c>
      <c r="X9" s="71">
        <f t="shared" si="45"/>
        <v>0.63847464848743074</v>
      </c>
      <c r="Y9" s="71">
        <f t="shared" si="45"/>
        <v>0.70282486319174353</v>
      </c>
      <c r="Z9" s="71">
        <f t="shared" si="45"/>
        <v>0.79398693528777409</v>
      </c>
      <c r="AA9" s="71">
        <f t="shared" si="45"/>
        <v>0.56646078787564236</v>
      </c>
      <c r="AB9" s="71">
        <f t="shared" si="45"/>
        <v>0.53119387604887391</v>
      </c>
      <c r="AC9" s="71">
        <f t="shared" si="45"/>
        <v>0.85100415068668722</v>
      </c>
      <c r="AD9" s="71">
        <f t="shared" si="45"/>
        <v>0.60047077115770831</v>
      </c>
      <c r="AE9" s="71">
        <f t="shared" si="45"/>
        <v>0.5393403211847293</v>
      </c>
      <c r="AF9" s="71">
        <f t="shared" si="45"/>
        <v>1</v>
      </c>
      <c r="AG9" s="71">
        <f>AG5/AG6</f>
        <v>0.90059132927870478</v>
      </c>
      <c r="AH9" s="71">
        <f t="shared" si="45"/>
        <v>0.63140297754226593</v>
      </c>
      <c r="AI9" s="71">
        <f t="shared" si="45"/>
        <v>0.24471961349256971</v>
      </c>
      <c r="AJ9" s="71">
        <f t="shared" si="45"/>
        <v>0.31384317361502034</v>
      </c>
      <c r="AK9" s="71">
        <f t="shared" si="45"/>
        <v>5.8121605238965549E-2</v>
      </c>
      <c r="AL9" s="71">
        <f t="shared" si="45"/>
        <v>0.96554399710933181</v>
      </c>
      <c r="AM9" s="71">
        <f t="shared" si="45"/>
        <v>0.81578398832716026</v>
      </c>
      <c r="AN9" s="71">
        <f t="shared" si="45"/>
        <v>0.67468508136076999</v>
      </c>
      <c r="AO9" s="71">
        <f t="shared" si="45"/>
        <v>0.1900073808458333</v>
      </c>
      <c r="AP9" s="71">
        <f t="shared" si="45"/>
        <v>0.6004359673024523</v>
      </c>
      <c r="AQ9" s="71">
        <f t="shared" si="45"/>
        <v>0.66300386732113648</v>
      </c>
      <c r="AR9" s="71">
        <f t="shared" si="45"/>
        <v>0.58835316217908584</v>
      </c>
      <c r="AS9" s="71">
        <f t="shared" si="45"/>
        <v>0.4216475289677396</v>
      </c>
      <c r="AT9" s="71">
        <f t="shared" si="45"/>
        <v>0.43831328780620393</v>
      </c>
      <c r="AU9" s="71">
        <f t="shared" si="45"/>
        <v>0.34073788089946888</v>
      </c>
      <c r="AV9" s="71">
        <f t="shared" si="45"/>
        <v>6.8347778611888357E-2</v>
      </c>
      <c r="AW9" s="71">
        <f t="shared" si="45"/>
        <v>0.68259402991809737</v>
      </c>
      <c r="AX9" s="71">
        <f t="shared" si="45"/>
        <v>0.7964854310603785</v>
      </c>
      <c r="AY9" s="71">
        <f t="shared" si="45"/>
        <v>0.61659093928523989</v>
      </c>
      <c r="AZ9" s="71">
        <f t="shared" si="45"/>
        <v>0.60792360560401804</v>
      </c>
      <c r="BA9" s="71">
        <f t="shared" si="45"/>
        <v>8.1265345743162229E-2</v>
      </c>
    </row>
    <row r="10" spans="1:56" x14ac:dyDescent="0.2">
      <c r="A10">
        <f t="shared" si="44"/>
        <v>7</v>
      </c>
      <c r="B10" t="s">
        <v>727</v>
      </c>
      <c r="D10" s="71">
        <f>D7/D8</f>
        <v>0.25149679339248426</v>
      </c>
      <c r="E10" s="71">
        <f t="shared" ref="E10:BA10" si="46">E7/E8</f>
        <v>0.42702847302335689</v>
      </c>
      <c r="F10" s="71">
        <f t="shared" si="46"/>
        <v>0.30726171465945817</v>
      </c>
      <c r="G10" s="71">
        <f t="shared" si="46"/>
        <v>0.53672543147364848</v>
      </c>
      <c r="H10" s="71">
        <f t="shared" si="46"/>
        <v>0.97866972477064218</v>
      </c>
      <c r="I10" s="71">
        <f t="shared" si="46"/>
        <v>0.49007520016267841</v>
      </c>
      <c r="J10" s="71">
        <f t="shared" si="46"/>
        <v>0.20437289527720739</v>
      </c>
      <c r="K10" s="71">
        <f t="shared" si="46"/>
        <v>0.96953180540979722</v>
      </c>
      <c r="L10" s="71">
        <f t="shared" si="46"/>
        <v>0.90151341321246514</v>
      </c>
      <c r="M10" s="71">
        <f t="shared" si="46"/>
        <v>0.29887084078711984</v>
      </c>
      <c r="N10" s="71">
        <f t="shared" si="46"/>
        <v>1</v>
      </c>
      <c r="O10" s="71">
        <f t="shared" si="46"/>
        <v>0.92216950891139893</v>
      </c>
      <c r="P10" s="71">
        <f t="shared" si="46"/>
        <v>0.97440853647825665</v>
      </c>
      <c r="Q10" s="71">
        <f t="shared" si="46"/>
        <v>0.95587724908755567</v>
      </c>
      <c r="R10" s="71">
        <f t="shared" si="46"/>
        <v>0.87261083874445722</v>
      </c>
      <c r="S10" s="71">
        <f t="shared" si="46"/>
        <v>0.97839115486794814</v>
      </c>
      <c r="T10" s="71">
        <f t="shared" si="46"/>
        <v>0.40642828430510203</v>
      </c>
      <c r="U10" s="71">
        <f t="shared" si="46"/>
        <v>0.94142756116122217</v>
      </c>
      <c r="V10" s="71">
        <f t="shared" si="46"/>
        <v>8.6179107636946431E-2</v>
      </c>
      <c r="W10" s="71">
        <f t="shared" si="46"/>
        <v>0.74638301973677168</v>
      </c>
      <c r="X10" s="71">
        <f t="shared" si="46"/>
        <v>0.97485866041969893</v>
      </c>
      <c r="Y10" s="71">
        <f t="shared" si="46"/>
        <v>0.35675268494196721</v>
      </c>
      <c r="Z10" s="71">
        <f t="shared" si="46"/>
        <v>0.9550139733235703</v>
      </c>
      <c r="AA10" s="71">
        <f t="shared" si="46"/>
        <v>1</v>
      </c>
      <c r="AB10" s="71">
        <f t="shared" si="46"/>
        <v>0.27262925642372837</v>
      </c>
      <c r="AC10" s="71">
        <f t="shared" si="46"/>
        <v>0.86640146383194216</v>
      </c>
      <c r="AD10" s="71">
        <f t="shared" si="46"/>
        <v>0.85899184956757568</v>
      </c>
      <c r="AE10" s="71">
        <f t="shared" si="46"/>
        <v>0.91297355534817393</v>
      </c>
      <c r="AF10" s="71">
        <f t="shared" si="46"/>
        <v>1</v>
      </c>
      <c r="AG10" s="71">
        <f>AG7/AG8</f>
        <v>0.94694040488063846</v>
      </c>
      <c r="AH10" s="71">
        <f t="shared" si="46"/>
        <v>0.83811360786961142</v>
      </c>
      <c r="AI10" s="71">
        <f t="shared" si="46"/>
        <v>0.59222938473917175</v>
      </c>
      <c r="AJ10" s="71">
        <f t="shared" si="46"/>
        <v>0.68405269018590031</v>
      </c>
      <c r="AK10" s="71">
        <f t="shared" si="46"/>
        <v>0.71894912273423184</v>
      </c>
      <c r="AL10" s="71">
        <f t="shared" si="46"/>
        <v>1</v>
      </c>
      <c r="AM10" s="71">
        <f t="shared" si="46"/>
        <v>0.95859366665371026</v>
      </c>
      <c r="AN10" s="71">
        <f t="shared" si="46"/>
        <v>0.96719377787607352</v>
      </c>
      <c r="AO10" s="71">
        <f t="shared" si="46"/>
        <v>0.17675036694733601</v>
      </c>
      <c r="AP10" s="71">
        <f t="shared" si="46"/>
        <v>0.35453400503778332</v>
      </c>
      <c r="AQ10" s="71">
        <f t="shared" si="46"/>
        <v>0.25735183301307413</v>
      </c>
      <c r="AR10" s="71">
        <f t="shared" si="46"/>
        <v>0.302545205545594</v>
      </c>
      <c r="AS10" s="71">
        <f t="shared" si="46"/>
        <v>0.32140362702491093</v>
      </c>
      <c r="AT10" s="71">
        <f t="shared" si="46"/>
        <v>0.38434336988198187</v>
      </c>
      <c r="AU10" s="71">
        <f t="shared" si="46"/>
        <v>0.32486771584018836</v>
      </c>
      <c r="AV10" s="71">
        <f t="shared" si="46"/>
        <v>0.86506872568051041</v>
      </c>
      <c r="AW10" s="71">
        <f t="shared" si="46"/>
        <v>0.85777183747837837</v>
      </c>
      <c r="AX10" s="71">
        <f t="shared" si="46"/>
        <v>0.68166935109923965</v>
      </c>
      <c r="AY10" s="71">
        <f t="shared" si="46"/>
        <v>0.50661393699713619</v>
      </c>
      <c r="AZ10" s="71">
        <f t="shared" si="46"/>
        <v>0.71579389618833622</v>
      </c>
      <c r="BA10" s="71">
        <f t="shared" si="46"/>
        <v>0.33334045850478278</v>
      </c>
    </row>
    <row r="11" spans="1:56" x14ac:dyDescent="0.2">
      <c r="A11">
        <v>8</v>
      </c>
      <c r="B11" t="s">
        <v>730</v>
      </c>
      <c r="D11" s="71">
        <f>AVERAGE(D9:D10)</f>
        <v>0.26597967200916017</v>
      </c>
      <c r="E11" s="71">
        <f t="shared" ref="E11:BA11" si="47">AVERAGE(E9:E10)</f>
        <v>0.58190905206501842</v>
      </c>
      <c r="F11" s="71">
        <f t="shared" si="47"/>
        <v>0.33750439227402079</v>
      </c>
      <c r="G11" s="71">
        <f t="shared" si="47"/>
        <v>0.49066064948033589</v>
      </c>
      <c r="H11" s="71">
        <f t="shared" si="47"/>
        <v>0.93696683879498743</v>
      </c>
      <c r="I11" s="71">
        <f t="shared" si="47"/>
        <v>0.33839460927669524</v>
      </c>
      <c r="J11" s="71">
        <f t="shared" si="47"/>
        <v>0.30833993014727057</v>
      </c>
      <c r="K11" s="71">
        <f t="shared" si="47"/>
        <v>0.98301018665206752</v>
      </c>
      <c r="L11" s="71">
        <f t="shared" si="47"/>
        <v>0.85253696624731701</v>
      </c>
      <c r="M11" s="71">
        <f t="shared" si="47"/>
        <v>0.43999765439639726</v>
      </c>
      <c r="N11" s="71">
        <f t="shared" si="47"/>
        <v>1</v>
      </c>
      <c r="O11" s="71">
        <f t="shared" si="47"/>
        <v>0.73547523467557552</v>
      </c>
      <c r="P11" s="71">
        <f t="shared" si="47"/>
        <v>0.76972043519973976</v>
      </c>
      <c r="Q11" s="71">
        <f t="shared" si="47"/>
        <v>0.82325007505921166</v>
      </c>
      <c r="R11" s="71">
        <f t="shared" si="47"/>
        <v>0.82151131260980859</v>
      </c>
      <c r="S11" s="71">
        <f t="shared" si="47"/>
        <v>0.92819593878200679</v>
      </c>
      <c r="T11" s="71">
        <f t="shared" si="47"/>
        <v>0.5223882573754508</v>
      </c>
      <c r="U11" s="71">
        <f t="shared" si="47"/>
        <v>0.83526733788244112</v>
      </c>
      <c r="V11" s="71">
        <f t="shared" si="47"/>
        <v>6.1945509335765932E-2</v>
      </c>
      <c r="W11" s="71">
        <f t="shared" si="47"/>
        <v>0.67303670621628342</v>
      </c>
      <c r="X11" s="71">
        <f t="shared" si="47"/>
        <v>0.80666665445356478</v>
      </c>
      <c r="Y11" s="71">
        <f t="shared" si="47"/>
        <v>0.52978877406685543</v>
      </c>
      <c r="Z11" s="71">
        <f t="shared" si="47"/>
        <v>0.87450045430567225</v>
      </c>
      <c r="AA11" s="71">
        <f t="shared" si="47"/>
        <v>0.78323039393782112</v>
      </c>
      <c r="AB11" s="71">
        <f t="shared" si="47"/>
        <v>0.40191156623630114</v>
      </c>
      <c r="AC11" s="71">
        <f t="shared" si="47"/>
        <v>0.85870280725931469</v>
      </c>
      <c r="AD11" s="71">
        <f t="shared" si="47"/>
        <v>0.72973131036264194</v>
      </c>
      <c r="AE11" s="71">
        <f t="shared" si="47"/>
        <v>0.72615693826645167</v>
      </c>
      <c r="AF11" s="71">
        <f t="shared" si="47"/>
        <v>1</v>
      </c>
      <c r="AG11" s="71">
        <f t="shared" si="47"/>
        <v>0.92376586707967157</v>
      </c>
      <c r="AH11" s="71">
        <f t="shared" si="47"/>
        <v>0.73475829270593862</v>
      </c>
      <c r="AI11" s="71">
        <f t="shared" si="47"/>
        <v>0.41847449911587076</v>
      </c>
      <c r="AJ11" s="71">
        <f t="shared" si="47"/>
        <v>0.49894793190046033</v>
      </c>
      <c r="AK11" s="71">
        <f t="shared" si="47"/>
        <v>0.38853536398659871</v>
      </c>
      <c r="AL11" s="71">
        <f t="shared" si="47"/>
        <v>0.9827719985546659</v>
      </c>
      <c r="AM11" s="71">
        <f t="shared" si="47"/>
        <v>0.88718882749043526</v>
      </c>
      <c r="AN11" s="71">
        <f t="shared" si="47"/>
        <v>0.82093942961842181</v>
      </c>
      <c r="AO11" s="71">
        <f t="shared" si="47"/>
        <v>0.18337887389658464</v>
      </c>
      <c r="AP11" s="71">
        <f t="shared" si="47"/>
        <v>0.47748498617011781</v>
      </c>
      <c r="AQ11" s="71">
        <f t="shared" si="47"/>
        <v>0.46017785016710533</v>
      </c>
      <c r="AR11" s="71">
        <f t="shared" si="47"/>
        <v>0.44544918386233989</v>
      </c>
      <c r="AS11" s="71">
        <f t="shared" si="47"/>
        <v>0.37152557799632524</v>
      </c>
      <c r="AT11" s="71">
        <f t="shared" si="47"/>
        <v>0.41132832884409287</v>
      </c>
      <c r="AU11" s="71">
        <f t="shared" si="47"/>
        <v>0.33280279836982862</v>
      </c>
      <c r="AV11" s="71">
        <f t="shared" si="47"/>
        <v>0.46670825214619938</v>
      </c>
      <c r="AW11" s="71">
        <f t="shared" si="47"/>
        <v>0.77018293369823787</v>
      </c>
      <c r="AX11" s="71">
        <f t="shared" si="47"/>
        <v>0.73907739107980908</v>
      </c>
      <c r="AY11" s="71">
        <f t="shared" si="47"/>
        <v>0.56160243814118804</v>
      </c>
      <c r="AZ11" s="71">
        <f t="shared" si="47"/>
        <v>0.66185875089617707</v>
      </c>
      <c r="BA11" s="71">
        <f t="shared" si="47"/>
        <v>0.20730290212397251</v>
      </c>
    </row>
    <row r="12" spans="1:56" x14ac:dyDescent="0.2">
      <c r="A12">
        <v>9</v>
      </c>
      <c r="B12" t="s">
        <v>89</v>
      </c>
      <c r="D12" s="60">
        <f>'GPI Summary'!D32</f>
        <v>4803689</v>
      </c>
      <c r="E12" s="60">
        <f>'GPI Summary'!E32</f>
        <v>723860</v>
      </c>
      <c r="F12" s="60">
        <f>'GPI Summary'!F32</f>
        <v>6467315</v>
      </c>
      <c r="G12" s="60">
        <f>'GPI Summary'!G32</f>
        <v>2938582</v>
      </c>
      <c r="H12" s="60">
        <f>'GPI Summary'!H32</f>
        <v>37683933</v>
      </c>
      <c r="I12" s="60">
        <f>'GPI Summary'!I32</f>
        <v>5116302</v>
      </c>
      <c r="J12" s="60">
        <f>'GPI Summary'!J32</f>
        <v>3586717</v>
      </c>
      <c r="K12" s="60">
        <f>'GPI Summary'!K32</f>
        <v>908137</v>
      </c>
      <c r="L12" s="60">
        <f>'GPI Summary'!L32</f>
        <v>19082262</v>
      </c>
      <c r="M12" s="60">
        <f>'GPI Summary'!M32</f>
        <v>9812460</v>
      </c>
      <c r="N12" s="60">
        <f>'GPI Summary'!N32</f>
        <v>1378129</v>
      </c>
      <c r="O12" s="60">
        <f>'GPI Summary'!O32</f>
        <v>1583744</v>
      </c>
      <c r="P12" s="60">
        <f>'GPI Summary'!P32</f>
        <v>12859752</v>
      </c>
      <c r="Q12" s="60">
        <f>'GPI Summary'!Q32</f>
        <v>6516353</v>
      </c>
      <c r="R12" s="60">
        <f>'GPI Summary'!R32</f>
        <v>3064097</v>
      </c>
      <c r="S12" s="60">
        <f>'GPI Summary'!S32</f>
        <v>2870386</v>
      </c>
      <c r="T12" s="60">
        <f>'GPI Summary'!T32</f>
        <v>4366814</v>
      </c>
      <c r="U12" s="60">
        <f>'GPI Summary'!U32</f>
        <v>4574766</v>
      </c>
      <c r="V12" s="60">
        <f>'GPI Summary'!V32</f>
        <v>1328544</v>
      </c>
      <c r="W12" s="60">
        <f>'GPI Summary'!W32</f>
        <v>5839572</v>
      </c>
      <c r="X12" s="60">
        <f>'GPI Summary'!X32</f>
        <v>6607003</v>
      </c>
      <c r="Y12" s="60">
        <f>'GPI Summary'!Y32</f>
        <v>9876801</v>
      </c>
      <c r="Z12" s="60">
        <f>'GPI Summary'!Z32</f>
        <v>5347299</v>
      </c>
      <c r="AA12" s="60">
        <f>'GPI Summary'!AA32</f>
        <v>2977457</v>
      </c>
      <c r="AB12" s="60">
        <f>'GPI Summary'!AB32</f>
        <v>6008984</v>
      </c>
      <c r="AC12" s="60">
        <f>'GPI Summary'!AC32</f>
        <v>997667</v>
      </c>
      <c r="AD12" s="60">
        <f>'GPI Summary'!AD32</f>
        <v>1842234</v>
      </c>
      <c r="AE12" s="60">
        <f>'GPI Summary'!AE32</f>
        <v>2720028</v>
      </c>
      <c r="AF12" s="60">
        <f>'GPI Summary'!AF32</f>
        <v>1317807</v>
      </c>
      <c r="AG12" s="60">
        <f>'GPI Summary'!AG32</f>
        <v>8834773</v>
      </c>
      <c r="AH12" s="60">
        <f>'GPI Summary'!AH32</f>
        <v>2078674</v>
      </c>
      <c r="AI12" s="60">
        <f>'GPI Summary'!AI32</f>
        <v>19501616</v>
      </c>
      <c r="AJ12" s="60">
        <f>'GPI Summary'!AJ32</f>
        <v>9651103</v>
      </c>
      <c r="AK12" s="60">
        <f>'GPI Summary'!AK32</f>
        <v>684740</v>
      </c>
      <c r="AL12" s="60">
        <f>'GPI Summary'!AL32</f>
        <v>11541007</v>
      </c>
      <c r="AM12" s="60">
        <f>'GPI Summary'!AM32</f>
        <v>3784163</v>
      </c>
      <c r="AN12" s="60">
        <f>'GPI Summary'!AN32</f>
        <v>3868229</v>
      </c>
      <c r="AO12" s="60">
        <f>'GPI Summary'!AO32</f>
        <v>12743948</v>
      </c>
      <c r="AP12" s="60">
        <f>'GPI Summary'!AP32</f>
        <v>1050646</v>
      </c>
      <c r="AQ12" s="60">
        <f>'GPI Summary'!AQ32</f>
        <v>4673348</v>
      </c>
      <c r="AR12" s="60">
        <f>'GPI Summary'!AR32</f>
        <v>823593</v>
      </c>
      <c r="AS12" s="60">
        <f>'GPI Summary'!AS32</f>
        <v>6399787</v>
      </c>
      <c r="AT12" s="60">
        <f>'GPI Summary'!AT32</f>
        <v>25631778</v>
      </c>
      <c r="AU12" s="60">
        <f>'GPI Summary'!AU32</f>
        <v>2814347</v>
      </c>
      <c r="AV12" s="60">
        <f>'GPI Summary'!AV32</f>
        <v>626592</v>
      </c>
      <c r="AW12" s="60">
        <f>'GPI Summary'!AW32</f>
        <v>8104384</v>
      </c>
      <c r="AX12" s="60">
        <f>'GPI Summary'!AX32</f>
        <v>6823267</v>
      </c>
      <c r="AY12" s="60">
        <f>'GPI Summary'!AY32</f>
        <v>1854908</v>
      </c>
      <c r="AZ12" s="60">
        <f>'GPI Summary'!AZ32</f>
        <v>5709843</v>
      </c>
      <c r="BA12" s="60">
        <f>'GPI Summary'!BA32</f>
        <v>567356</v>
      </c>
    </row>
    <row r="13" spans="1:56" x14ac:dyDescent="0.2">
      <c r="A13">
        <f t="shared" si="44"/>
        <v>10</v>
      </c>
      <c r="B13" s="227" t="s">
        <v>732</v>
      </c>
      <c r="C13" s="260">
        <f>222.46</f>
        <v>222.46</v>
      </c>
    </row>
    <row r="15" spans="1:56" x14ac:dyDescent="0.2">
      <c r="A15">
        <v>1</v>
      </c>
    </row>
    <row r="16" spans="1:56" x14ac:dyDescent="0.2">
      <c r="A16">
        <v>2</v>
      </c>
      <c r="B16" t="s">
        <v>722</v>
      </c>
    </row>
    <row r="17" spans="1:2" x14ac:dyDescent="0.2">
      <c r="A17">
        <v>3</v>
      </c>
      <c r="B17" t="s">
        <v>722</v>
      </c>
    </row>
    <row r="18" spans="1:2" x14ac:dyDescent="0.2">
      <c r="A18">
        <v>4</v>
      </c>
      <c r="B18" t="s">
        <v>722</v>
      </c>
    </row>
    <row r="19" spans="1:2" x14ac:dyDescent="0.2">
      <c r="A19">
        <v>5</v>
      </c>
      <c r="B19" t="s">
        <v>722</v>
      </c>
    </row>
    <row r="20" spans="1:2" x14ac:dyDescent="0.2">
      <c r="A20">
        <v>6</v>
      </c>
      <c r="B20" t="s">
        <v>728</v>
      </c>
    </row>
    <row r="21" spans="1:2" x14ac:dyDescent="0.2">
      <c r="A21">
        <v>7</v>
      </c>
      <c r="B21" t="s">
        <v>729</v>
      </c>
    </row>
    <row r="22" spans="1:2" x14ac:dyDescent="0.2">
      <c r="A22">
        <v>8</v>
      </c>
      <c r="B22" t="s">
        <v>731</v>
      </c>
    </row>
    <row r="23" spans="1:2" x14ac:dyDescent="0.2">
      <c r="A23">
        <v>9</v>
      </c>
      <c r="B23" t="s">
        <v>675</v>
      </c>
    </row>
    <row r="24" spans="1:2" x14ac:dyDescent="0.2">
      <c r="A24">
        <v>10</v>
      </c>
      <c r="B24" t="s">
        <v>917</v>
      </c>
    </row>
  </sheetData>
  <phoneticPr fontId="103" type="noConversion"/>
  <pageMargins left="0.75" right="0.75" top="1" bottom="1"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1"/>
  <sheetViews>
    <sheetView workbookViewId="0"/>
  </sheetViews>
  <sheetFormatPr baseColWidth="10" defaultColWidth="11" defaultRowHeight="16" x14ac:dyDescent="0.2"/>
  <cols>
    <col min="2" max="2" width="57.6640625" bestFit="1" customWidth="1"/>
    <col min="4" max="4" width="12.1640625" customWidth="1"/>
    <col min="5" max="5" width="22.33203125" customWidth="1"/>
    <col min="6" max="6" width="13.1640625" bestFit="1" customWidth="1"/>
    <col min="7" max="11" width="14.1640625" bestFit="1" customWidth="1"/>
    <col min="12" max="12" width="13.1640625" bestFit="1" customWidth="1"/>
    <col min="13" max="14" width="14.1640625" bestFit="1" customWidth="1"/>
    <col min="15" max="15" width="13.1640625" bestFit="1" customWidth="1"/>
    <col min="16" max="31" width="14.1640625" bestFit="1" customWidth="1"/>
    <col min="32" max="32" width="13.1640625" bestFit="1" customWidth="1"/>
    <col min="33" max="34" width="14.1640625" bestFit="1" customWidth="1"/>
    <col min="35" max="35" width="13.1640625" bestFit="1" customWidth="1"/>
    <col min="36" max="53" width="14.1640625" bestFit="1" customWidth="1"/>
    <col min="54" max="54" width="13.1640625" bestFit="1" customWidth="1"/>
  </cols>
  <sheetData>
    <row r="1" spans="1:56" x14ac:dyDescent="0.2">
      <c r="B1" s="32">
        <v>2011</v>
      </c>
      <c r="C1" s="6"/>
      <c r="D1" s="3">
        <v>1</v>
      </c>
      <c r="E1" s="3">
        <f>D1+1</f>
        <v>2</v>
      </c>
      <c r="F1" s="3">
        <f t="shared" ref="F1:K1" si="0">E1+1</f>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B1" s="3"/>
      <c r="BC1" s="19"/>
      <c r="BD1" s="20"/>
    </row>
    <row r="2" spans="1:56" x14ac:dyDescent="0.2">
      <c r="C2" s="24" t="s">
        <v>95</v>
      </c>
      <c r="D2" s="25" t="s">
        <v>144</v>
      </c>
      <c r="E2" s="25" t="s">
        <v>145</v>
      </c>
      <c r="F2" s="25" t="s">
        <v>146</v>
      </c>
      <c r="G2" s="25" t="s">
        <v>147</v>
      </c>
      <c r="H2" s="25" t="s">
        <v>148</v>
      </c>
      <c r="I2" s="25" t="s">
        <v>149</v>
      </c>
      <c r="J2" s="25" t="s">
        <v>150</v>
      </c>
      <c r="K2" s="25" t="s">
        <v>151</v>
      </c>
      <c r="L2" s="25" t="s">
        <v>152</v>
      </c>
      <c r="M2" s="25" t="s">
        <v>153</v>
      </c>
      <c r="N2" s="25" t="s">
        <v>154</v>
      </c>
      <c r="O2" s="25" t="s">
        <v>155</v>
      </c>
      <c r="P2" s="25" t="s">
        <v>156</v>
      </c>
      <c r="Q2" s="25" t="s">
        <v>2</v>
      </c>
      <c r="R2" s="25" t="s">
        <v>3</v>
      </c>
      <c r="S2" s="25" t="s">
        <v>4</v>
      </c>
      <c r="T2" s="25" t="s">
        <v>5</v>
      </c>
      <c r="U2" s="25" t="s">
        <v>6</v>
      </c>
      <c r="V2" s="25" t="s">
        <v>7</v>
      </c>
      <c r="W2" s="25" t="s">
        <v>8</v>
      </c>
      <c r="X2" s="25" t="s">
        <v>9</v>
      </c>
      <c r="Y2" s="25" t="s">
        <v>10</v>
      </c>
      <c r="Z2" s="25" t="s">
        <v>11</v>
      </c>
      <c r="AA2" s="25" t="s">
        <v>12</v>
      </c>
      <c r="AB2" s="25" t="s">
        <v>13</v>
      </c>
      <c r="AC2" s="25" t="s">
        <v>14</v>
      </c>
      <c r="AD2" s="25" t="s">
        <v>15</v>
      </c>
      <c r="AE2" s="25" t="s">
        <v>16</v>
      </c>
      <c r="AF2" s="25" t="s">
        <v>17</v>
      </c>
      <c r="AG2" s="25" t="s">
        <v>18</v>
      </c>
      <c r="AH2" s="25" t="s">
        <v>19</v>
      </c>
      <c r="AI2" s="25" t="s">
        <v>20</v>
      </c>
      <c r="AJ2" s="25" t="s">
        <v>21</v>
      </c>
      <c r="AK2" s="25" t="s">
        <v>22</v>
      </c>
      <c r="AL2" s="25" t="s">
        <v>23</v>
      </c>
      <c r="AM2" s="25" t="s">
        <v>24</v>
      </c>
      <c r="AN2" s="25" t="s">
        <v>25</v>
      </c>
      <c r="AO2" s="25" t="s">
        <v>26</v>
      </c>
      <c r="AP2" s="25" t="s">
        <v>27</v>
      </c>
      <c r="AQ2" s="25" t="s">
        <v>28</v>
      </c>
      <c r="AR2" s="25" t="s">
        <v>29</v>
      </c>
      <c r="AS2" s="25" t="s">
        <v>30</v>
      </c>
      <c r="AT2" s="25" t="s">
        <v>31</v>
      </c>
      <c r="AU2" s="25" t="s">
        <v>32</v>
      </c>
      <c r="AV2" s="25" t="s">
        <v>33</v>
      </c>
      <c r="AW2" s="25" t="s">
        <v>34</v>
      </c>
      <c r="AX2" s="25" t="s">
        <v>35</v>
      </c>
      <c r="AY2" s="25" t="s">
        <v>36</v>
      </c>
      <c r="AZ2" s="25" t="s">
        <v>37</v>
      </c>
      <c r="BA2" s="25" t="s">
        <v>38</v>
      </c>
      <c r="BB2" s="26"/>
      <c r="BC2" s="19"/>
      <c r="BD2" s="20"/>
    </row>
    <row r="3" spans="1:56" x14ac:dyDescent="0.2">
      <c r="C3" s="24" t="s">
        <v>96</v>
      </c>
      <c r="D3" s="26" t="s">
        <v>39</v>
      </c>
      <c r="E3" s="26" t="s">
        <v>40</v>
      </c>
      <c r="F3" s="26" t="s">
        <v>41</v>
      </c>
      <c r="G3" s="26" t="s">
        <v>42</v>
      </c>
      <c r="H3" s="26" t="s">
        <v>43</v>
      </c>
      <c r="I3" s="26" t="s">
        <v>44</v>
      </c>
      <c r="J3" s="26" t="s">
        <v>45</v>
      </c>
      <c r="K3" s="26" t="s">
        <v>46</v>
      </c>
      <c r="L3" s="26" t="s">
        <v>47</v>
      </c>
      <c r="M3" s="26" t="s">
        <v>48</v>
      </c>
      <c r="N3" s="26" t="s">
        <v>49</v>
      </c>
      <c r="O3" s="26" t="s">
        <v>50</v>
      </c>
      <c r="P3" s="26" t="s">
        <v>51</v>
      </c>
      <c r="Q3" s="26" t="s">
        <v>52</v>
      </c>
      <c r="R3" s="26" t="s">
        <v>53</v>
      </c>
      <c r="S3" s="26" t="s">
        <v>54</v>
      </c>
      <c r="T3" s="26" t="s">
        <v>55</v>
      </c>
      <c r="U3" s="26" t="s">
        <v>56</v>
      </c>
      <c r="V3" s="26" t="s">
        <v>57</v>
      </c>
      <c r="W3" s="26" t="s">
        <v>58</v>
      </c>
      <c r="X3" s="26" t="s">
        <v>59</v>
      </c>
      <c r="Y3" s="26" t="s">
        <v>60</v>
      </c>
      <c r="Z3" s="26" t="s">
        <v>61</v>
      </c>
      <c r="AA3" s="26" t="s">
        <v>62</v>
      </c>
      <c r="AB3" s="26" t="s">
        <v>63</v>
      </c>
      <c r="AC3" s="26" t="s">
        <v>64</v>
      </c>
      <c r="AD3" s="26" t="s">
        <v>65</v>
      </c>
      <c r="AE3" s="26" t="s">
        <v>66</v>
      </c>
      <c r="AF3" s="26" t="s">
        <v>67</v>
      </c>
      <c r="AG3" s="26" t="s">
        <v>68</v>
      </c>
      <c r="AH3" s="26" t="s">
        <v>69</v>
      </c>
      <c r="AI3" s="26" t="s">
        <v>70</v>
      </c>
      <c r="AJ3" s="26" t="s">
        <v>71</v>
      </c>
      <c r="AK3" s="26" t="s">
        <v>72</v>
      </c>
      <c r="AL3" s="26" t="s">
        <v>73</v>
      </c>
      <c r="AM3" s="26" t="s">
        <v>74</v>
      </c>
      <c r="AN3" s="26" t="s">
        <v>75</v>
      </c>
      <c r="AO3" s="26" t="s">
        <v>76</v>
      </c>
      <c r="AP3" s="26" t="s">
        <v>77</v>
      </c>
      <c r="AQ3" s="26" t="s">
        <v>78</v>
      </c>
      <c r="AR3" s="26" t="s">
        <v>79</v>
      </c>
      <c r="AS3" s="26" t="s">
        <v>80</v>
      </c>
      <c r="AT3" s="26" t="s">
        <v>81</v>
      </c>
      <c r="AU3" s="26" t="s">
        <v>82</v>
      </c>
      <c r="AV3" s="26" t="s">
        <v>83</v>
      </c>
      <c r="AW3" s="26" t="s">
        <v>84</v>
      </c>
      <c r="AX3" s="26" t="s">
        <v>85</v>
      </c>
      <c r="AY3" s="26" t="s">
        <v>86</v>
      </c>
      <c r="AZ3" s="26" t="s">
        <v>87</v>
      </c>
      <c r="BA3" s="26" t="s">
        <v>88</v>
      </c>
    </row>
    <row r="4" spans="1:56" x14ac:dyDescent="0.2">
      <c r="A4">
        <v>1</v>
      </c>
      <c r="B4" s="243" t="s">
        <v>645</v>
      </c>
      <c r="C4" s="245">
        <f>SUM(D4:BA4)</f>
        <v>14.778504878849438</v>
      </c>
      <c r="D4" s="244">
        <f t="shared" ref="D4:BA4" si="43">(D5*D13)/1000</f>
        <v>0.14418912065697062</v>
      </c>
      <c r="E4" s="244">
        <f t="shared" si="43"/>
        <v>0</v>
      </c>
      <c r="F4" s="244">
        <f t="shared" si="43"/>
        <v>0.22369710609483257</v>
      </c>
      <c r="G4" s="244">
        <f t="shared" si="43"/>
        <v>9.7783899917054329E-2</v>
      </c>
      <c r="H4" s="244">
        <f t="shared" si="43"/>
        <v>5.6190773010786952</v>
      </c>
      <c r="I4" s="244">
        <f t="shared" si="43"/>
        <v>0.28933051138352511</v>
      </c>
      <c r="J4" s="244">
        <f t="shared" si="43"/>
        <v>5.2558576603513166E-2</v>
      </c>
      <c r="K4" s="244">
        <f t="shared" si="43"/>
        <v>1.3588870104289271E-2</v>
      </c>
      <c r="L4" s="244">
        <f t="shared" si="43"/>
        <v>0.39109833650409742</v>
      </c>
      <c r="M4" s="244">
        <f t="shared" si="43"/>
        <v>0.53034845199234271</v>
      </c>
      <c r="N4" s="244">
        <f t="shared" si="43"/>
        <v>0</v>
      </c>
      <c r="O4" s="244">
        <f t="shared" si="43"/>
        <v>0</v>
      </c>
      <c r="P4" s="244">
        <f t="shared" si="43"/>
        <v>0.40166539596907913</v>
      </c>
      <c r="Q4" s="244">
        <f t="shared" si="43"/>
        <v>0.16864584025539597</v>
      </c>
      <c r="R4" s="244">
        <f t="shared" si="43"/>
        <v>0</v>
      </c>
      <c r="S4" s="244">
        <f t="shared" si="43"/>
        <v>0.11883744986718679</v>
      </c>
      <c r="T4" s="244">
        <f t="shared" si="43"/>
        <v>0.15115074819043187</v>
      </c>
      <c r="U4" s="244">
        <f t="shared" si="43"/>
        <v>0.20417086962727679</v>
      </c>
      <c r="V4" s="244">
        <f t="shared" si="43"/>
        <v>5.6097975486656413E-3</v>
      </c>
      <c r="W4" s="244">
        <f t="shared" si="43"/>
        <v>0.1793595978220143</v>
      </c>
      <c r="X4" s="244">
        <f t="shared" si="43"/>
        <v>6.8999090877937319E-2</v>
      </c>
      <c r="Y4" s="244">
        <f t="shared" si="43"/>
        <v>0.22442243388133726</v>
      </c>
      <c r="Z4" s="244">
        <f t="shared" si="43"/>
        <v>7.4639608120388914E-3</v>
      </c>
      <c r="AA4" s="244">
        <f t="shared" si="43"/>
        <v>3.7577361212212022E-2</v>
      </c>
      <c r="AB4" s="244">
        <f t="shared" si="43"/>
        <v>0.32045716200766394</v>
      </c>
      <c r="AC4" s="244">
        <f t="shared" si="43"/>
        <v>0</v>
      </c>
      <c r="AD4" s="244">
        <f t="shared" si="43"/>
        <v>0</v>
      </c>
      <c r="AE4" s="244">
        <f t="shared" si="43"/>
        <v>8.4815035414830112E-2</v>
      </c>
      <c r="AF4" s="244">
        <f t="shared" si="43"/>
        <v>2.9983918145240263E-3</v>
      </c>
      <c r="AG4" s="244">
        <f t="shared" si="43"/>
        <v>0.19274460751796174</v>
      </c>
      <c r="AH4" s="244">
        <f t="shared" si="43"/>
        <v>4.6845239190596327E-2</v>
      </c>
      <c r="AI4" s="244">
        <f t="shared" si="43"/>
        <v>0.46029305403437482</v>
      </c>
      <c r="AJ4" s="244">
        <f t="shared" si="43"/>
        <v>0.28250466964758414</v>
      </c>
      <c r="AK4" s="244">
        <f t="shared" si="43"/>
        <v>0</v>
      </c>
      <c r="AL4" s="244">
        <f t="shared" si="43"/>
        <v>0.39835632104668334</v>
      </c>
      <c r="AM4" s="244">
        <f t="shared" si="43"/>
        <v>0.31586839095083391</v>
      </c>
      <c r="AN4" s="244">
        <f t="shared" si="43"/>
        <v>5.6351337101428972E-3</v>
      </c>
      <c r="AO4" s="244">
        <f t="shared" si="43"/>
        <v>0.39074065745122222</v>
      </c>
      <c r="AP4" s="244">
        <f t="shared" si="43"/>
        <v>6.5614180837553085E-3</v>
      </c>
      <c r="AQ4" s="244">
        <f t="shared" si="43"/>
        <v>7.0275209496699423E-2</v>
      </c>
      <c r="AR4" s="244">
        <f t="shared" si="43"/>
        <v>0</v>
      </c>
      <c r="AS4" s="244">
        <f t="shared" si="43"/>
        <v>0.22623051361877619</v>
      </c>
      <c r="AT4" s="244">
        <f t="shared" si="43"/>
        <v>2.6147933966054051</v>
      </c>
      <c r="AU4" s="244">
        <f t="shared" si="43"/>
        <v>0.12309160021001016</v>
      </c>
      <c r="AV4" s="244">
        <f t="shared" si="43"/>
        <v>8.2541487721171549E-4</v>
      </c>
      <c r="AW4" s="244">
        <f t="shared" si="43"/>
        <v>0.17438421178210484</v>
      </c>
      <c r="AX4" s="244">
        <f t="shared" si="43"/>
        <v>0</v>
      </c>
      <c r="AY4" s="244">
        <f t="shared" si="43"/>
        <v>1.6877477480038917E-2</v>
      </c>
      <c r="AZ4" s="244">
        <f t="shared" si="43"/>
        <v>7.8605926963017492E-2</v>
      </c>
      <c r="BA4" s="244">
        <f t="shared" si="43"/>
        <v>3.6026326547101889E-2</v>
      </c>
    </row>
    <row r="5" spans="1:56" x14ac:dyDescent="0.2">
      <c r="A5">
        <v>2</v>
      </c>
      <c r="B5" s="247" t="s">
        <v>360</v>
      </c>
      <c r="D5" s="247">
        <v>24</v>
      </c>
      <c r="E5" s="247">
        <v>0</v>
      </c>
      <c r="F5" s="247">
        <v>26</v>
      </c>
      <c r="G5" s="247">
        <v>23</v>
      </c>
      <c r="H5" s="247">
        <v>137</v>
      </c>
      <c r="I5" s="247">
        <v>38</v>
      </c>
      <c r="J5" s="247">
        <v>14</v>
      </c>
      <c r="K5" s="247">
        <v>14</v>
      </c>
      <c r="L5" s="247">
        <v>19</v>
      </c>
      <c r="M5" s="247">
        <v>47</v>
      </c>
      <c r="N5" s="247">
        <v>0</v>
      </c>
      <c r="O5" s="247">
        <v>0</v>
      </c>
      <c r="P5" s="247">
        <v>27</v>
      </c>
      <c r="Q5" s="247">
        <v>22</v>
      </c>
      <c r="R5" s="247">
        <v>0</v>
      </c>
      <c r="S5" s="247">
        <v>21</v>
      </c>
      <c r="T5" s="247">
        <v>27</v>
      </c>
      <c r="U5" s="247">
        <v>37</v>
      </c>
      <c r="V5" s="247">
        <v>3</v>
      </c>
      <c r="W5" s="247">
        <v>29</v>
      </c>
      <c r="X5" s="247">
        <v>10</v>
      </c>
      <c r="Y5" s="247">
        <v>20</v>
      </c>
      <c r="Z5" s="247">
        <v>1</v>
      </c>
      <c r="AA5" s="247">
        <v>9</v>
      </c>
      <c r="AB5" s="247">
        <v>39</v>
      </c>
      <c r="AC5" s="247">
        <v>0</v>
      </c>
      <c r="AD5" s="247">
        <v>0</v>
      </c>
      <c r="AE5" s="247">
        <v>25</v>
      </c>
      <c r="AF5" s="247">
        <v>2</v>
      </c>
      <c r="AG5" s="247">
        <v>21</v>
      </c>
      <c r="AH5" s="247">
        <v>9</v>
      </c>
      <c r="AI5" s="247">
        <v>22</v>
      </c>
      <c r="AJ5" s="247">
        <v>26</v>
      </c>
      <c r="AK5" s="247">
        <v>0</v>
      </c>
      <c r="AL5" s="247">
        <v>31</v>
      </c>
      <c r="AM5" s="247">
        <v>51</v>
      </c>
      <c r="AN5" s="247">
        <v>1</v>
      </c>
      <c r="AO5" s="247">
        <v>28</v>
      </c>
      <c r="AP5" s="247">
        <v>6</v>
      </c>
      <c r="AQ5" s="247">
        <v>13</v>
      </c>
      <c r="AR5" s="247">
        <v>0</v>
      </c>
      <c r="AS5" s="247">
        <v>30</v>
      </c>
      <c r="AT5" s="247">
        <v>74</v>
      </c>
      <c r="AU5" s="247">
        <v>31</v>
      </c>
      <c r="AV5" s="247">
        <v>1</v>
      </c>
      <c r="AW5" s="247">
        <v>19</v>
      </c>
      <c r="AX5" s="247">
        <v>0</v>
      </c>
      <c r="AY5" s="247">
        <v>7</v>
      </c>
      <c r="AZ5" s="247">
        <v>11</v>
      </c>
      <c r="BA5" s="247">
        <v>14</v>
      </c>
    </row>
    <row r="6" spans="1:56" x14ac:dyDescent="0.2">
      <c r="A6">
        <v>3</v>
      </c>
      <c r="B6" t="s">
        <v>637</v>
      </c>
      <c r="D6" s="263">
        <f>'Cost Net Forest Change'!D5/'Cost Net Forest Change'!$C5</f>
        <v>2.809894707110739E-2</v>
      </c>
      <c r="E6" s="263">
        <f>'Cost Net Forest Change'!E5/'Cost Net Forest Change'!$C5</f>
        <v>0.15582978032033964</v>
      </c>
      <c r="F6" s="263">
        <f>'Cost Net Forest Change'!F5/'Cost Net Forest Change'!$C5</f>
        <v>2.2898657385089363E-2</v>
      </c>
      <c r="G6" s="263">
        <f>'Cost Net Forest Change'!G5/'Cost Net Forest Change'!$C5</f>
        <v>2.3036158874164873E-2</v>
      </c>
      <c r="H6" s="263">
        <f>'Cost Net Forest Change'!H5/'Cost Net Forest Change'!$C5</f>
        <v>4.0063988949051423E-2</v>
      </c>
      <c r="I6" s="263">
        <f>'Cost Net Forest Change'!I5/'Cost Net Forest Change'!$C5</f>
        <v>2.8049726483045868E-2</v>
      </c>
      <c r="J6" s="263">
        <f>'Cost Net Forest Change'!J5/'Cost Net Forest Change'!$C5</f>
        <v>2.1024952560007651E-3</v>
      </c>
      <c r="K6" s="263">
        <f>'Cost Net Forest Change'!K5/'Cost Net Forest Change'!$C5</f>
        <v>4.1702328397293049E-4</v>
      </c>
      <c r="L6" s="263">
        <f>'Cost Net Forest Change'!L5/'Cost Net Forest Change'!$C5</f>
        <v>2.1446831207557235E-2</v>
      </c>
      <c r="M6" s="263">
        <f>'Cost Net Forest Change'!M5/'Cost Net Forest Change'!$C5</f>
        <v>3.0422156862374164E-2</v>
      </c>
      <c r="N6" s="263">
        <f>'Cost Net Forest Change'!N5/'Cost Net Forest Change'!$C5</f>
        <v>2.4811116683120865E-3</v>
      </c>
      <c r="O6" s="263">
        <f>'Cost Net Forest Change'!O5/'Cost Net Forest Change'!$C5</f>
        <v>2.6343673566902075E-2</v>
      </c>
      <c r="P6" s="263">
        <f>'Cost Net Forest Change'!P5/'Cost Net Forest Change'!$C5</f>
        <v>5.9540293019353817E-3</v>
      </c>
      <c r="Q6" s="263">
        <f>'Cost Net Forest Change'!Q5/'Cost Net Forest Change'!$C5</f>
        <v>5.9330442559684957E-3</v>
      </c>
      <c r="R6" s="263">
        <f>'Cost Net Forest Change'!R5/'Cost Net Forest Change'!$C5</f>
        <v>3.7017191190002797E-3</v>
      </c>
      <c r="S6" s="263">
        <f>'Cost Net Forest Change'!S5/'Cost Net Forest Change'!$C5</f>
        <v>3.0736723745449944E-3</v>
      </c>
      <c r="T6" s="263">
        <f>'Cost Net Forest Change'!T5/'Cost Net Forest Change'!$C5</f>
        <v>1.5318729813173903E-2</v>
      </c>
      <c r="U6" s="263">
        <f>'Cost Net Forest Change'!U5/'Cost Net Forest Change'!$C5</f>
        <v>1.8070442328835413E-2</v>
      </c>
      <c r="V6" s="263">
        <f>'Cost Net Forest Change'!V5/'Cost Net Forest Change'!$C5</f>
        <v>2.1691605156367252E-2</v>
      </c>
      <c r="W6" s="263">
        <f>'Cost Net Forest Change'!W5/'Cost Net Forest Change'!$C5</f>
        <v>3.0223526677502339E-3</v>
      </c>
      <c r="X6" s="263">
        <f>'Cost Net Forest Change'!X5/'Cost Net Forest Change'!$C5</f>
        <v>3.7144108649748687E-3</v>
      </c>
      <c r="Y6" s="263">
        <f>'Cost Net Forest Change'!Y5/'Cost Net Forest Change'!$C5</f>
        <v>2.4721512931974807E-2</v>
      </c>
      <c r="Z6" s="263">
        <f>'Cost Net Forest Change'!Z5/'Cost Net Forest Change'!$C5</f>
        <v>2.1335587740880325E-2</v>
      </c>
      <c r="AA6" s="263">
        <f>'Cost Net Forest Change'!AA5/'Cost Net Forest Change'!$C5</f>
        <v>2.4002313583990423E-2</v>
      </c>
      <c r="AB6" s="263">
        <f>'Cost Net Forest Change'!AB5/'Cost Net Forest Change'!$C5</f>
        <v>1.9003819342630977E-2</v>
      </c>
      <c r="AC6" s="263">
        <f>'Cost Net Forest Change'!AC5/'Cost Net Forest Change'!$C5</f>
        <v>3.1410872492557911E-2</v>
      </c>
      <c r="AD6" s="263">
        <f>'Cost Net Forest Change'!AD5/'Cost Net Forest Change'!$C5</f>
        <v>1.9359721300446211E-3</v>
      </c>
      <c r="AE6" s="263">
        <f>'Cost Net Forest Change'!AE5/'Cost Net Forest Change'!$C5</f>
        <v>1.3144088602576967E-2</v>
      </c>
      <c r="AF6" s="263">
        <f>'Cost Net Forest Change'!AF5/'Cost Net Forest Change'!$C5</f>
        <v>5.9355167697250858E-3</v>
      </c>
      <c r="AG6" s="263">
        <f>'Cost Net Forest Change'!AG5/'Cost Net Forest Change'!$C5</f>
        <v>2.4117891626448261E-3</v>
      </c>
      <c r="AH6" s="263">
        <f>'Cost Net Forest Change'!AH5/'Cost Net Forest Change'!$C5</f>
        <v>2.9079027941376168E-2</v>
      </c>
      <c r="AI6" s="263">
        <f>'Cost Net Forest Change'!AI5/'Cost Net Forest Change'!$C5</f>
        <v>2.3295937407202663E-2</v>
      </c>
      <c r="AJ6" s="263">
        <f>'Cost Net Forest Change'!AJ5/'Cost Net Forest Change'!$C5</f>
        <v>2.2830576663529362E-2</v>
      </c>
      <c r="AK6" s="263">
        <f>'Cost Net Forest Change'!AK5/'Cost Net Forest Change'!$C5</f>
        <v>9.3348510182863825E-4</v>
      </c>
      <c r="AL6" s="263">
        <f>'Cost Net Forest Change'!AL5/'Cost Net Forest Change'!$C5</f>
        <v>9.9346130897229098E-3</v>
      </c>
      <c r="AM6" s="263">
        <f>'Cost Net Forest Change'!AM5/'Cost Net Forest Change'!$C5</f>
        <v>1.5532911163804394E-2</v>
      </c>
      <c r="AN6" s="263">
        <f>'Cost Net Forest Change'!AN5/'Cost Net Forest Change'!$C5</f>
        <v>3.6607454022077608E-2</v>
      </c>
      <c r="AO6" s="263">
        <f>'Cost Net Forest Change'!AO5/'Cost Net Forest Change'!$C5</f>
        <v>2.061283008571619E-2</v>
      </c>
      <c r="AP6" s="263">
        <f>'Cost Net Forest Change'!AP5/'Cost Net Forest Change'!$C5</f>
        <v>4.4158751776232326E-4</v>
      </c>
      <c r="AQ6" s="263">
        <f>'Cost Net Forest Change'!AQ5/'Cost Net Forest Change'!$C5</f>
        <v>1.6115568304006806E-2</v>
      </c>
      <c r="AR6" s="263">
        <f>'Cost Net Forest Change'!AR5/'Cost Net Forest Change'!$C5</f>
        <v>2.3471488340466775E-3</v>
      </c>
      <c r="AS6" s="263">
        <f>'Cost Net Forest Change'!AS5/'Cost Net Forest Change'!$C5</f>
        <v>1.7123764345606113E-2</v>
      </c>
      <c r="AT6" s="263">
        <f>'Cost Net Forest Change'!AT5/'Cost Net Forest Change'!$C5</f>
        <v>7.5896843593101296E-2</v>
      </c>
      <c r="AU6" s="263">
        <f>'Cost Net Forest Change'!AU5/'Cost Net Forest Change'!$C5</f>
        <v>2.2274888715852259E-2</v>
      </c>
      <c r="AV6" s="263">
        <f>'Cost Net Forest Change'!AV5/'Cost Net Forest Change'!$C5</f>
        <v>5.63934573291481E-3</v>
      </c>
      <c r="AW6" s="263">
        <f>'Cost Net Forest Change'!AW5/'Cost Net Forest Change'!$C5</f>
        <v>1.9538190610603346E-2</v>
      </c>
      <c r="AX6" s="263">
        <f>'Cost Net Forest Change'!AX5/'Cost Net Forest Change'!$C5</f>
        <v>2.7556341460251668E-2</v>
      </c>
      <c r="AY6" s="263">
        <f>'Cost Net Forest Change'!AY5/'Cost Net Forest Change'!$C5</f>
        <v>1.4929009812010332E-2</v>
      </c>
      <c r="AZ6" s="263">
        <f>'Cost Net Forest Change'!AZ5/'Cost Net Forest Change'!$C5</f>
        <v>2.0856180465999685E-2</v>
      </c>
      <c r="BA6" s="263">
        <f>'Cost Net Forest Change'!BA5/'Cost Net Forest Change'!$C5</f>
        <v>1.2882265565092126E-2</v>
      </c>
    </row>
    <row r="7" spans="1:56" x14ac:dyDescent="0.2">
      <c r="A7">
        <v>4</v>
      </c>
      <c r="B7" t="s">
        <v>449</v>
      </c>
      <c r="D7" s="264">
        <f>'Cost Net Farmland Change'!D5/'Cost Net Farmland Change'!$C6</f>
        <v>9.7601936771393363E-3</v>
      </c>
      <c r="E7" s="264">
        <f>'Cost Net Farmland Change'!E5/'Cost Net Farmland Change'!$C6</f>
        <v>9.5966150121593475E-4</v>
      </c>
      <c r="F7" s="264">
        <f>'Cost Net Farmland Change'!F5/'Cost Net Farmland Change'!$C6</f>
        <v>2.8462687706518063E-2</v>
      </c>
      <c r="G7" s="264">
        <f>'Cost Net Farmland Change'!G5/'Cost Net Farmland Change'!$C6</f>
        <v>1.4722079848199E-2</v>
      </c>
      <c r="H7" s="264">
        <f>'Cost Net Farmland Change'!H5/'Cost Net Farmland Change'!$C6</f>
        <v>2.7699320603278118E-2</v>
      </c>
      <c r="I7" s="264">
        <f>'Cost Net Farmland Change'!I5/'Cost Net Farmland Change'!$C6</f>
        <v>3.4133414759157682E-2</v>
      </c>
      <c r="J7" s="264">
        <f>'Cost Net Farmland Change'!J5/'Cost Net Farmland Change'!$C6</f>
        <v>4.3620977327997034E-4</v>
      </c>
      <c r="K7" s="264">
        <f>'Cost Net Farmland Change'!K5/'Cost Net Farmland Change'!$C6</f>
        <v>5.3435697226796367E-4</v>
      </c>
      <c r="L7" s="264">
        <f>'Cost Net Farmland Change'!L5/'Cost Net Farmland Change'!$C6</f>
        <v>1.0087351007099314E-2</v>
      </c>
      <c r="M7" s="264">
        <f>'Cost Net Farmland Change'!M5/'Cost Net Farmland Change'!$C6</f>
        <v>1.1232401661959237E-2</v>
      </c>
      <c r="N7" s="264">
        <f>'Cost Net Farmland Change'!N5/'Cost Net Farmland Change'!$C6</f>
        <v>1.2104821208519176E-3</v>
      </c>
      <c r="O7" s="264">
        <f>'Cost Net Farmland Change'!O5/'Cost Net Farmland Change'!$C6</f>
        <v>1.2431978538479155E-2</v>
      </c>
      <c r="P7" s="264">
        <f>'Cost Net Farmland Change'!P5/'Cost Net Farmland Change'!$C6</f>
        <v>2.9007949923118028E-2</v>
      </c>
      <c r="Q7" s="264">
        <f>'Cost Net Farmland Change'!Q5/'Cost Net Farmland Change'!$C6</f>
        <v>1.603070916803891E-2</v>
      </c>
      <c r="R7" s="264">
        <f>'Cost Net Farmland Change'!R5/'Cost Net Farmland Change'!$C6</f>
        <v>3.347910009923772E-2</v>
      </c>
      <c r="S7" s="264">
        <f>'Cost Net Farmland Change'!S5/'Cost Net Farmland Change'!$C6</f>
        <v>5.0164123927196588E-2</v>
      </c>
      <c r="T7" s="264">
        <f>'Cost Net Farmland Change'!T5/'Cost Net Farmland Change'!$C6</f>
        <v>1.5267342064798961E-2</v>
      </c>
      <c r="U7" s="264">
        <f>'Cost Net Farmland Change'!U5/'Cost Net Farmland Change'!$C6</f>
        <v>8.66966924393941E-3</v>
      </c>
      <c r="V7" s="264">
        <f>'Cost Net Farmland Change'!V5/'Cost Net Farmland Change'!$C6</f>
        <v>1.4722079848198998E-3</v>
      </c>
      <c r="W7" s="264">
        <f>'Cost Net Farmland Change'!W5/'Cost Net Farmland Change'!$C6</f>
        <v>2.2355750880598481E-3</v>
      </c>
      <c r="X7" s="264">
        <f>'Cost Net Farmland Change'!X5/'Cost Net Farmland Change'!$C6</f>
        <v>5.6707270526396144E-4</v>
      </c>
      <c r="Y7" s="264">
        <f>'Cost Net Farmland Change'!Y5/'Cost Net Farmland Change'!$C6</f>
        <v>1.0905244331999258E-2</v>
      </c>
      <c r="Z7" s="264">
        <f>'Cost Net Farmland Change'!Z5/'Cost Net Farmland Change'!$C6</f>
        <v>2.9280581031418011E-2</v>
      </c>
      <c r="AA7" s="264">
        <f>'Cost Net Farmland Change'!AA5/'Cost Net Farmland Change'!$C6</f>
        <v>1.2159347430179173E-2</v>
      </c>
      <c r="AB7" s="264">
        <f>'Cost Net Farmland Change'!AB5/'Cost Net Farmland Change'!$C6</f>
        <v>3.1516156119477855E-2</v>
      </c>
      <c r="AC7" s="264">
        <f>'Cost Net Farmland Change'!AC5/'Cost Net Farmland Change'!$C6</f>
        <v>6.5976728208595514E-2</v>
      </c>
      <c r="AD7" s="264">
        <f>'Cost Net Farmland Change'!AD5/'Cost Net Farmland Change'!$C6</f>
        <v>4.9618861710596623E-2</v>
      </c>
      <c r="AE7" s="264">
        <f>'Cost Net Farmland Change'!AE5/'Cost Net Farmland Change'!$C6</f>
        <v>6.3795679342195663E-3</v>
      </c>
      <c r="AF7" s="264">
        <f>'Cost Net Farmland Change'!AF5/'Cost Net Farmland Change'!$C6</f>
        <v>5.1254648360396515E-4</v>
      </c>
      <c r="AG7" s="264">
        <f>'Cost Net Farmland Change'!AG5/'Cost Net Farmland Change'!$C6</f>
        <v>7.9608283623594587E-4</v>
      </c>
      <c r="AH7" s="264">
        <f>'Cost Net Farmland Change'!AH5/'Cost Net Farmland Change'!$C6</f>
        <v>4.7328760400876781E-2</v>
      </c>
      <c r="AI7" s="264">
        <f>'Cost Net Farmland Change'!AI5/'Cost Net Farmland Change'!$C6</f>
        <v>7.6336710323994805E-3</v>
      </c>
      <c r="AJ7" s="264">
        <f>'Cost Net Farmland Change'!AJ5/'Cost Net Farmland Change'!$C6</f>
        <v>9.26945768219937E-3</v>
      </c>
      <c r="AK7" s="264">
        <f>'Cost Net Farmland Change'!AK5/'Cost Net Farmland Change'!$C6</f>
        <v>4.3184767554717063E-2</v>
      </c>
      <c r="AL7" s="264">
        <f>'Cost Net Farmland Change'!AL5/'Cost Net Farmland Change'!$C6</f>
        <v>1.4831132291518992E-2</v>
      </c>
      <c r="AM7" s="264">
        <f>'Cost Net Farmland Change'!AM5/'Cost Net Farmland Change'!$C6</f>
        <v>3.7841197832037425E-2</v>
      </c>
      <c r="AN7" s="264">
        <f>'Cost Net Farmland Change'!AN5/'Cost Net Farmland Change'!$C6</f>
        <v>1.7775548261158791E-2</v>
      </c>
      <c r="AO7" s="264">
        <f>'Cost Net Farmland Change'!AO5/'Cost Net Farmland Change'!$C6</f>
        <v>8.3425119139794324E-3</v>
      </c>
      <c r="AP7" s="264">
        <f>'Cost Net Farmland Change'!AP5/'Cost Net Farmland Change'!$C6</f>
        <v>7.633671032399481E-5</v>
      </c>
      <c r="AQ7" s="264">
        <f>'Cost Net Farmland Change'!AQ5/'Cost Net Farmland Change'!$C6</f>
        <v>5.3435697226796369E-3</v>
      </c>
      <c r="AR7" s="264">
        <f>'Cost Net Farmland Change'!AR5/'Cost Net Farmland Change'!$C6</f>
        <v>4.7601391509176763E-2</v>
      </c>
      <c r="AS7" s="264">
        <f>'Cost Net Farmland Change'!AS5/'Cost Net Farmland Change'!$C6</f>
        <v>1.1777663878559198E-2</v>
      </c>
      <c r="AT7" s="264">
        <f>'Cost Net Farmland Change'!AT5/'Cost Net Farmland Change'!$C6</f>
        <v>0.14176817631599037</v>
      </c>
      <c r="AU7" s="264">
        <f>'Cost Net Farmland Change'!AU5/'Cost Net Farmland Change'!$C6</f>
        <v>1.2104821208519178E-2</v>
      </c>
      <c r="AV7" s="264">
        <f>'Cost Net Farmland Change'!AV5/'Cost Net Farmland Change'!$C6</f>
        <v>1.3304398085039095E-3</v>
      </c>
      <c r="AW7" s="264">
        <f>'Cost Net Farmland Change'!AW5/'Cost Net Farmland Change'!$C6</f>
        <v>8.66966924393941E-3</v>
      </c>
      <c r="AX7" s="264">
        <f>'Cost Net Farmland Change'!AX5/'Cost Net Farmland Change'!$C6</f>
        <v>1.6139761611358903E-2</v>
      </c>
      <c r="AY7" s="264">
        <f>'Cost Net Farmland Change'!AY5/'Cost Net Farmland Change'!$C6</f>
        <v>3.980414181179729E-3</v>
      </c>
      <c r="AZ7" s="264">
        <f>'Cost Net Farmland Change'!AZ5/'Cost Net Farmland Change'!$C6</f>
        <v>1.6357866497998887E-2</v>
      </c>
      <c r="BA7" s="264">
        <f>'Cost Net Farmland Change'!BA5/'Cost Net Farmland Change'!$C6</f>
        <v>3.2933837882637762E-2</v>
      </c>
    </row>
    <row r="8" spans="1:56" x14ac:dyDescent="0.2">
      <c r="A8">
        <v>5</v>
      </c>
      <c r="B8" t="s">
        <v>450</v>
      </c>
      <c r="D8" s="264">
        <f>'GPI Summary'!D33</f>
        <v>1.5447495252867751E-2</v>
      </c>
      <c r="E8" s="413">
        <f>'GPI Summary'!E33</f>
        <v>2.3277576699367612E-3</v>
      </c>
      <c r="F8" s="413">
        <f>'GPI Summary'!F33</f>
        <v>2.079731176629053E-2</v>
      </c>
      <c r="G8" s="413">
        <f>'GPI Summary'!G33</f>
        <v>9.4497648567928982E-3</v>
      </c>
      <c r="H8" s="413">
        <f>'GPI Summary'!H33</f>
        <v>0.1211823613324856</v>
      </c>
      <c r="I8" s="413">
        <f>'GPI Summary'!I33</f>
        <v>1.6452782612953874E-2</v>
      </c>
      <c r="J8" s="413">
        <f>'GPI Summary'!J33</f>
        <v>1.153400934799902E-2</v>
      </c>
      <c r="K8" s="413">
        <f>'GPI Summary'!K33</f>
        <v>2.9203476737260804E-3</v>
      </c>
      <c r="L8" s="413">
        <f>'GPI Summary'!L33</f>
        <v>6.1363912538671565E-2</v>
      </c>
      <c r="M8" s="413">
        <f>'GPI Summary'!M33</f>
        <v>3.1554484328389011E-2</v>
      </c>
      <c r="N8" s="413">
        <f>'GPI Summary'!N33</f>
        <v>4.4317276129531655E-3</v>
      </c>
      <c r="O8" s="413">
        <f>'GPI Summary'!O33</f>
        <v>5.0929354339462407E-3</v>
      </c>
      <c r="P8" s="413">
        <f>'GPI Summary'!P33</f>
        <v>4.1353834099804664E-2</v>
      </c>
      <c r="Q8" s="413">
        <f>'GPI Summary'!Q33</f>
        <v>2.0955006045043825E-2</v>
      </c>
      <c r="R8" s="413">
        <f>'GPI Summary'!R33</f>
        <v>9.8533905633412817E-3</v>
      </c>
      <c r="S8" s="413">
        <f>'GPI Summary'!S33</f>
        <v>9.2304631105173656E-3</v>
      </c>
      <c r="T8" s="413">
        <f>'GPI Summary'!T33</f>
        <v>1.4042611529421749E-2</v>
      </c>
      <c r="U8" s="413">
        <f>'GPI Summary'!U33</f>
        <v>1.4711334573903679E-2</v>
      </c>
      <c r="V8" s="413">
        <f>'GPI Summary'!V33</f>
        <v>4.2722743152660246E-3</v>
      </c>
      <c r="W8" s="413">
        <f>'GPI Summary'!W33</f>
        <v>1.8778642986417196E-2</v>
      </c>
      <c r="X8" s="413">
        <f>'GPI Summary'!X33</f>
        <v>2.1246514393038974E-2</v>
      </c>
      <c r="Y8" s="413">
        <f>'GPI Summary'!Y33</f>
        <v>3.1761389332452511E-2</v>
      </c>
      <c r="Z8" s="413">
        <f>'GPI Summary'!Z33</f>
        <v>1.719561277138559E-2</v>
      </c>
      <c r="AA8" s="413">
        <f>'GPI Summary'!AA33</f>
        <v>9.5747773998520417E-3</v>
      </c>
      <c r="AB8" s="413">
        <f>'GPI Summary'!AB33</f>
        <v>1.9323430766346086E-2</v>
      </c>
      <c r="AC8" s="413">
        <f>'GPI Summary'!AC33</f>
        <v>3.2082543741784302E-3</v>
      </c>
      <c r="AD8" s="413">
        <f>'GPI Summary'!AD33</f>
        <v>5.9241763922834242E-3</v>
      </c>
      <c r="AE8" s="413">
        <f>'GPI Summary'!AE33</f>
        <v>8.7469483594103115E-3</v>
      </c>
      <c r="AF8" s="413">
        <f>'GPI Summary'!AF33</f>
        <v>4.2377467352061908E-3</v>
      </c>
      <c r="AG8" s="413">
        <f>'GPI Summary'!AG33</f>
        <v>2.8410480773768697E-2</v>
      </c>
      <c r="AH8" s="413">
        <f>'GPI Summary'!AH33</f>
        <v>6.6845099146217871E-3</v>
      </c>
      <c r="AI8" s="413">
        <f>'GPI Summary'!AI33</f>
        <v>6.2712452988369929E-2</v>
      </c>
      <c r="AJ8" s="413">
        <f>'GPI Summary'!AJ33</f>
        <v>3.1035599468957651E-2</v>
      </c>
      <c r="AK8" s="413">
        <f>'GPI Summary'!AK33</f>
        <v>2.2019572664776308E-3</v>
      </c>
      <c r="AL8" s="413">
        <f>'GPI Summary'!AL33</f>
        <v>3.7113070984781379E-2</v>
      </c>
      <c r="AM8" s="413">
        <f>'GPI Summary'!AM33</f>
        <v>1.2168947652226817E-2</v>
      </c>
      <c r="AN8" s="413">
        <f>'GPI Summary'!AN33</f>
        <v>1.2439283457881093E-2</v>
      </c>
      <c r="AO8" s="413">
        <f>'GPI Summary'!AO33</f>
        <v>4.0981436606906375E-2</v>
      </c>
      <c r="AP8" s="413">
        <f>'GPI Summary'!AP33</f>
        <v>3.3786219502229412E-3</v>
      </c>
      <c r="AQ8" s="413">
        <f>'GPI Summary'!AQ33</f>
        <v>1.5028350304317994E-2</v>
      </c>
      <c r="AR8" s="413">
        <f>'GPI Summary'!AR33</f>
        <v>2.6484747363526469E-3</v>
      </c>
      <c r="AS8" s="413">
        <f>'GPI Summary'!AS33</f>
        <v>2.0580158145513738E-2</v>
      </c>
      <c r="AT8" s="413">
        <f>'GPI Summary'!AT33</f>
        <v>8.2425562724306262E-2</v>
      </c>
      <c r="AU8" s="413">
        <f>'GPI Summary'!AU33</f>
        <v>9.0502553188648548E-3</v>
      </c>
      <c r="AV8" s="413">
        <f>'GPI Summary'!AV33</f>
        <v>2.0149674438717639E-3</v>
      </c>
      <c r="AW8" s="413">
        <f>'GPI Summary'!AW33</f>
        <v>2.606172742811147E-2</v>
      </c>
      <c r="AX8" s="413">
        <f>'GPI Summary'!AX33</f>
        <v>2.1941966807499231E-2</v>
      </c>
      <c r="AY8" s="413">
        <f>'GPI Summary'!AY33</f>
        <v>5.9649328931382552E-3</v>
      </c>
      <c r="AZ8" s="413">
        <f>'GPI Summary'!AZ33</f>
        <v>1.8361466080989038E-2</v>
      </c>
      <c r="BA8" s="413">
        <f>'GPI Summary'!BA33</f>
        <v>1.8244788779386084E-3</v>
      </c>
    </row>
    <row r="9" spans="1:56" x14ac:dyDescent="0.2">
      <c r="A9">
        <v>6</v>
      </c>
      <c r="B9" s="265" t="s">
        <v>451</v>
      </c>
      <c r="D9" s="266">
        <f>19.25*D7*1000</f>
        <v>187.8837282849322</v>
      </c>
      <c r="E9" s="266">
        <f t="shared" ref="E9:BA9" si="44">19.25*E7*1000</f>
        <v>18.473483898406744</v>
      </c>
      <c r="F9" s="266">
        <f t="shared" si="44"/>
        <v>547.90673835047278</v>
      </c>
      <c r="G9" s="266">
        <f t="shared" si="44"/>
        <v>283.40003707783075</v>
      </c>
      <c r="H9" s="266">
        <f t="shared" si="44"/>
        <v>533.21192161310387</v>
      </c>
      <c r="I9" s="266">
        <f t="shared" si="44"/>
        <v>657.06823411378537</v>
      </c>
      <c r="J9" s="266">
        <f t="shared" si="44"/>
        <v>8.3970381356394288</v>
      </c>
      <c r="K9" s="266">
        <f t="shared" si="44"/>
        <v>10.2863717161583</v>
      </c>
      <c r="L9" s="266">
        <f t="shared" si="44"/>
        <v>194.18150688666179</v>
      </c>
      <c r="M9" s="266">
        <f t="shared" si="44"/>
        <v>216.2237319927153</v>
      </c>
      <c r="N9" s="266">
        <f t="shared" si="44"/>
        <v>23.301780826399416</v>
      </c>
      <c r="O9" s="266">
        <f t="shared" si="44"/>
        <v>239.31558686572373</v>
      </c>
      <c r="P9" s="266">
        <f t="shared" si="44"/>
        <v>558.40303602002211</v>
      </c>
      <c r="Q9" s="266">
        <f t="shared" si="44"/>
        <v>308.59115148474905</v>
      </c>
      <c r="R9" s="266">
        <f t="shared" si="44"/>
        <v>644.47267691032607</v>
      </c>
      <c r="S9" s="266">
        <f t="shared" si="44"/>
        <v>965.65938559853441</v>
      </c>
      <c r="T9" s="266">
        <f t="shared" si="44"/>
        <v>293.89633474737997</v>
      </c>
      <c r="U9" s="266">
        <f t="shared" si="44"/>
        <v>166.89113294583362</v>
      </c>
      <c r="V9" s="266">
        <f t="shared" si="44"/>
        <v>28.340003707783072</v>
      </c>
      <c r="W9" s="266">
        <f t="shared" si="44"/>
        <v>43.034820445152079</v>
      </c>
      <c r="X9" s="266">
        <f t="shared" si="44"/>
        <v>10.916149576331257</v>
      </c>
      <c r="Y9" s="266">
        <f t="shared" si="44"/>
        <v>209.92595339098571</v>
      </c>
      <c r="Z9" s="266">
        <f t="shared" si="44"/>
        <v>563.65118485479672</v>
      </c>
      <c r="AA9" s="266">
        <f t="shared" si="44"/>
        <v>234.06743803094906</v>
      </c>
      <c r="AB9" s="266">
        <f t="shared" si="44"/>
        <v>606.68600529994865</v>
      </c>
      <c r="AC9" s="266">
        <f t="shared" si="44"/>
        <v>1270.0520180154638</v>
      </c>
      <c r="AD9" s="266">
        <f t="shared" si="44"/>
        <v>955.16308792898496</v>
      </c>
      <c r="AE9" s="266">
        <f t="shared" si="44"/>
        <v>122.80668273372665</v>
      </c>
      <c r="AF9" s="266">
        <f t="shared" si="44"/>
        <v>9.866519809376328</v>
      </c>
      <c r="AG9" s="266">
        <f t="shared" si="44"/>
        <v>15.324594597541957</v>
      </c>
      <c r="AH9" s="266">
        <f t="shared" si="44"/>
        <v>911.07863771687801</v>
      </c>
      <c r="AI9" s="266">
        <f t="shared" si="44"/>
        <v>146.94816737368998</v>
      </c>
      <c r="AJ9" s="266">
        <f t="shared" si="44"/>
        <v>178.43706038233788</v>
      </c>
      <c r="AK9" s="266">
        <f t="shared" si="44"/>
        <v>831.30677542830347</v>
      </c>
      <c r="AL9" s="266">
        <f t="shared" si="44"/>
        <v>285.49929661174053</v>
      </c>
      <c r="AM9" s="266">
        <f t="shared" si="44"/>
        <v>728.44305826672041</v>
      </c>
      <c r="AN9" s="266">
        <f t="shared" si="44"/>
        <v>342.17930402730673</v>
      </c>
      <c r="AO9" s="266">
        <f t="shared" si="44"/>
        <v>160.59335434410409</v>
      </c>
      <c r="AP9" s="266">
        <f t="shared" si="44"/>
        <v>1.4694816737369001</v>
      </c>
      <c r="AQ9" s="266">
        <f t="shared" si="44"/>
        <v>102.86371716158301</v>
      </c>
      <c r="AR9" s="266">
        <f t="shared" si="44"/>
        <v>916.32678655165262</v>
      </c>
      <c r="AS9" s="266">
        <f t="shared" si="44"/>
        <v>226.72002966226458</v>
      </c>
      <c r="AT9" s="266">
        <f t="shared" si="44"/>
        <v>2729.0373940828149</v>
      </c>
      <c r="AU9" s="266">
        <f t="shared" si="44"/>
        <v>233.01780826399417</v>
      </c>
      <c r="AV9" s="266">
        <f t="shared" si="44"/>
        <v>25.61096631370026</v>
      </c>
      <c r="AW9" s="266">
        <f t="shared" si="44"/>
        <v>166.89113294583362</v>
      </c>
      <c r="AX9" s="266">
        <f t="shared" si="44"/>
        <v>310.69041101865889</v>
      </c>
      <c r="AY9" s="266">
        <f t="shared" si="44"/>
        <v>76.622972987709787</v>
      </c>
      <c r="AZ9" s="266">
        <f t="shared" si="44"/>
        <v>314.88893008647858</v>
      </c>
      <c r="BA9" s="266">
        <f t="shared" si="44"/>
        <v>633.97637924077685</v>
      </c>
    </row>
    <row r="10" spans="1:56" x14ac:dyDescent="0.2">
      <c r="A10">
        <v>7</v>
      </c>
      <c r="B10" s="265" t="s">
        <v>363</v>
      </c>
      <c r="D10" s="127">
        <f>116.77*D8*1000</f>
        <v>1803.8040206773674</v>
      </c>
      <c r="E10" s="127">
        <f t="shared" ref="E10:BA10" si="45">116.77*E8*1000</f>
        <v>271.8122631185156</v>
      </c>
      <c r="F10" s="127">
        <f t="shared" si="45"/>
        <v>2428.5020949497448</v>
      </c>
      <c r="G10" s="127">
        <f t="shared" si="45"/>
        <v>1103.4490423277066</v>
      </c>
      <c r="H10" s="127">
        <f t="shared" si="45"/>
        <v>14150.464332794343</v>
      </c>
      <c r="I10" s="127">
        <f t="shared" si="45"/>
        <v>1921.1914257146238</v>
      </c>
      <c r="J10" s="127">
        <f t="shared" si="45"/>
        <v>1346.8262715658454</v>
      </c>
      <c r="K10" s="127">
        <f t="shared" si="45"/>
        <v>341.00899786099438</v>
      </c>
      <c r="L10" s="127">
        <f t="shared" si="45"/>
        <v>7165.4640671406787</v>
      </c>
      <c r="M10" s="127">
        <f t="shared" si="45"/>
        <v>3684.6171350259847</v>
      </c>
      <c r="N10" s="127">
        <f t="shared" si="45"/>
        <v>517.49283336454107</v>
      </c>
      <c r="O10" s="127">
        <f t="shared" si="45"/>
        <v>594.70207062190252</v>
      </c>
      <c r="P10" s="127">
        <f t="shared" si="45"/>
        <v>4828.887207834191</v>
      </c>
      <c r="Q10" s="127">
        <f t="shared" si="45"/>
        <v>2446.9160558797676</v>
      </c>
      <c r="R10" s="127">
        <f t="shared" si="45"/>
        <v>1150.5804160813616</v>
      </c>
      <c r="S10" s="127">
        <f t="shared" si="45"/>
        <v>1077.8411774151127</v>
      </c>
      <c r="T10" s="127">
        <f t="shared" si="45"/>
        <v>1639.7557482905777</v>
      </c>
      <c r="U10" s="127">
        <f t="shared" si="45"/>
        <v>1717.8425381947327</v>
      </c>
      <c r="V10" s="127">
        <f t="shared" si="45"/>
        <v>498.8734717936137</v>
      </c>
      <c r="W10" s="127">
        <f t="shared" si="45"/>
        <v>2192.7821415239359</v>
      </c>
      <c r="X10" s="127">
        <f t="shared" si="45"/>
        <v>2480.9554856751606</v>
      </c>
      <c r="Y10" s="127">
        <f t="shared" si="45"/>
        <v>3708.7774323504796</v>
      </c>
      <c r="Z10" s="127">
        <f t="shared" si="45"/>
        <v>2007.9317033146951</v>
      </c>
      <c r="AA10" s="127">
        <f t="shared" si="45"/>
        <v>1118.0467569807229</v>
      </c>
      <c r="AB10" s="127">
        <f t="shared" si="45"/>
        <v>2256.3970105862327</v>
      </c>
      <c r="AC10" s="127">
        <f t="shared" si="45"/>
        <v>374.62786327281526</v>
      </c>
      <c r="AD10" s="127">
        <f t="shared" si="45"/>
        <v>691.76607732693537</v>
      </c>
      <c r="AE10" s="127">
        <f t="shared" si="45"/>
        <v>1021.381159928342</v>
      </c>
      <c r="AF10" s="127">
        <f t="shared" si="45"/>
        <v>494.84168627002691</v>
      </c>
      <c r="AG10" s="127">
        <f t="shared" si="45"/>
        <v>3317.4918399529706</v>
      </c>
      <c r="AH10" s="127">
        <f t="shared" si="45"/>
        <v>780.55022273038605</v>
      </c>
      <c r="AI10" s="127">
        <f t="shared" si="45"/>
        <v>7322.9331354519563</v>
      </c>
      <c r="AJ10" s="127">
        <f t="shared" si="45"/>
        <v>3624.0269499901851</v>
      </c>
      <c r="AK10" s="127">
        <f t="shared" si="45"/>
        <v>257.12255000659297</v>
      </c>
      <c r="AL10" s="127">
        <f t="shared" si="45"/>
        <v>4333.6932988929211</v>
      </c>
      <c r="AM10" s="127">
        <f t="shared" si="45"/>
        <v>1420.9680173505255</v>
      </c>
      <c r="AN10" s="127">
        <f t="shared" si="45"/>
        <v>1452.5351293767751</v>
      </c>
      <c r="AO10" s="127">
        <f t="shared" si="45"/>
        <v>4785.4023525884577</v>
      </c>
      <c r="AP10" s="127">
        <f t="shared" si="45"/>
        <v>394.52168512753281</v>
      </c>
      <c r="AQ10" s="127">
        <f t="shared" si="45"/>
        <v>1754.860465035212</v>
      </c>
      <c r="AR10" s="127">
        <f t="shared" si="45"/>
        <v>309.26239496389854</v>
      </c>
      <c r="AS10" s="127">
        <f t="shared" si="45"/>
        <v>2403.1450666516394</v>
      </c>
      <c r="AT10" s="127">
        <f t="shared" si="45"/>
        <v>9624.8329593172421</v>
      </c>
      <c r="AU10" s="127">
        <f t="shared" si="45"/>
        <v>1056.798313583849</v>
      </c>
      <c r="AV10" s="127">
        <f t="shared" si="45"/>
        <v>235.28774842090587</v>
      </c>
      <c r="AW10" s="127">
        <f t="shared" si="45"/>
        <v>3043.2279117805765</v>
      </c>
      <c r="AX10" s="127">
        <f t="shared" si="45"/>
        <v>2562.1634641116852</v>
      </c>
      <c r="AY10" s="127">
        <f t="shared" si="45"/>
        <v>696.52521393175402</v>
      </c>
      <c r="AZ10" s="127">
        <f t="shared" si="45"/>
        <v>2144.0683942770897</v>
      </c>
      <c r="BA10" s="127">
        <f t="shared" si="45"/>
        <v>213.04439857689127</v>
      </c>
    </row>
    <row r="11" spans="1:56" x14ac:dyDescent="0.2">
      <c r="A11">
        <v>8</v>
      </c>
      <c r="B11" s="63" t="s">
        <v>364</v>
      </c>
      <c r="D11" s="127">
        <f>7.16*D6*1000</f>
        <v>201.18846102912892</v>
      </c>
      <c r="E11" s="127">
        <f t="shared" ref="E11:BA11" si="46">7.16*E6*1000</f>
        <v>1115.7412270936318</v>
      </c>
      <c r="F11" s="127">
        <f t="shared" si="46"/>
        <v>163.95438687723984</v>
      </c>
      <c r="G11" s="127">
        <f t="shared" si="46"/>
        <v>164.9388975390205</v>
      </c>
      <c r="H11" s="127">
        <f t="shared" si="46"/>
        <v>286.85816087520823</v>
      </c>
      <c r="I11" s="127">
        <f t="shared" si="46"/>
        <v>200.83604161860842</v>
      </c>
      <c r="J11" s="127">
        <f t="shared" si="46"/>
        <v>15.053866032965479</v>
      </c>
      <c r="K11" s="127">
        <f t="shared" si="46"/>
        <v>2.9858867132461824</v>
      </c>
      <c r="L11" s="127">
        <f t="shared" si="46"/>
        <v>153.5593114461098</v>
      </c>
      <c r="M11" s="127">
        <f t="shared" si="46"/>
        <v>217.82264313459902</v>
      </c>
      <c r="N11" s="127">
        <f t="shared" si="46"/>
        <v>17.76475954511454</v>
      </c>
      <c r="O11" s="127">
        <f t="shared" si="46"/>
        <v>188.62070273901887</v>
      </c>
      <c r="P11" s="127">
        <f t="shared" si="46"/>
        <v>42.630849801857337</v>
      </c>
      <c r="Q11" s="127">
        <f t="shared" si="46"/>
        <v>42.480596872734431</v>
      </c>
      <c r="R11" s="127">
        <f t="shared" si="46"/>
        <v>26.504308892042005</v>
      </c>
      <c r="S11" s="127">
        <f t="shared" si="46"/>
        <v>22.007494201742158</v>
      </c>
      <c r="T11" s="127">
        <f t="shared" si="46"/>
        <v>109.68210546232515</v>
      </c>
      <c r="U11" s="127">
        <f t="shared" si="46"/>
        <v>129.38436707446155</v>
      </c>
      <c r="V11" s="127">
        <f t="shared" si="46"/>
        <v>155.31189291958952</v>
      </c>
      <c r="W11" s="127">
        <f t="shared" si="46"/>
        <v>21.640045101091673</v>
      </c>
      <c r="X11" s="127">
        <f t="shared" si="46"/>
        <v>26.59518179322006</v>
      </c>
      <c r="Y11" s="127">
        <f t="shared" si="46"/>
        <v>177.00603259293962</v>
      </c>
      <c r="Z11" s="127">
        <f t="shared" si="46"/>
        <v>152.76280822470315</v>
      </c>
      <c r="AA11" s="127">
        <f t="shared" si="46"/>
        <v>171.85656526137143</v>
      </c>
      <c r="AB11" s="127">
        <f t="shared" si="46"/>
        <v>136.06734649323778</v>
      </c>
      <c r="AC11" s="127">
        <f t="shared" si="46"/>
        <v>224.90184704671464</v>
      </c>
      <c r="AD11" s="127">
        <f t="shared" si="46"/>
        <v>13.861560451119487</v>
      </c>
      <c r="AE11" s="127">
        <f t="shared" si="46"/>
        <v>94.111674394451086</v>
      </c>
      <c r="AF11" s="127">
        <f t="shared" si="46"/>
        <v>42.498300071231611</v>
      </c>
      <c r="AG11" s="127">
        <f t="shared" si="46"/>
        <v>17.268410404536954</v>
      </c>
      <c r="AH11" s="127">
        <f t="shared" si="46"/>
        <v>208.20584006025337</v>
      </c>
      <c r="AI11" s="127">
        <f t="shared" si="46"/>
        <v>166.79891183557109</v>
      </c>
      <c r="AJ11" s="127">
        <f t="shared" si="46"/>
        <v>163.46692891087022</v>
      </c>
      <c r="AK11" s="127">
        <f t="shared" si="46"/>
        <v>6.68375332909305</v>
      </c>
      <c r="AL11" s="127">
        <f t="shared" si="46"/>
        <v>71.131829722416043</v>
      </c>
      <c r="AM11" s="127">
        <f t="shared" si="46"/>
        <v>111.21564393283946</v>
      </c>
      <c r="AN11" s="127">
        <f t="shared" si="46"/>
        <v>262.10937079807564</v>
      </c>
      <c r="AO11" s="127">
        <f t="shared" si="46"/>
        <v>147.58786341372792</v>
      </c>
      <c r="AP11" s="127">
        <f t="shared" si="46"/>
        <v>3.1617666271782348</v>
      </c>
      <c r="AQ11" s="127">
        <f t="shared" si="46"/>
        <v>115.38746905668873</v>
      </c>
      <c r="AR11" s="127">
        <f t="shared" si="46"/>
        <v>16.805585651774212</v>
      </c>
      <c r="AS11" s="127">
        <f t="shared" si="46"/>
        <v>122.60615271453977</v>
      </c>
      <c r="AT11" s="127">
        <f t="shared" si="46"/>
        <v>543.42140012660536</v>
      </c>
      <c r="AU11" s="127">
        <f t="shared" si="46"/>
        <v>159.48820320550217</v>
      </c>
      <c r="AV11" s="127">
        <f t="shared" si="46"/>
        <v>40.377715447670042</v>
      </c>
      <c r="AW11" s="127">
        <f t="shared" si="46"/>
        <v>139.89344477191995</v>
      </c>
      <c r="AX11" s="127">
        <f t="shared" si="46"/>
        <v>197.30340485540196</v>
      </c>
      <c r="AY11" s="127">
        <f t="shared" si="46"/>
        <v>106.89171025399398</v>
      </c>
      <c r="AZ11" s="127">
        <f t="shared" si="46"/>
        <v>149.33025213655776</v>
      </c>
      <c r="BA11" s="127">
        <f t="shared" si="46"/>
        <v>92.237021446059629</v>
      </c>
    </row>
    <row r="12" spans="1:56" x14ac:dyDescent="0.2">
      <c r="A12">
        <v>9</v>
      </c>
      <c r="B12" s="267" t="s">
        <v>365</v>
      </c>
      <c r="C12" s="59"/>
      <c r="D12" s="229">
        <f>D9+D10+D11</f>
        <v>2192.8762099914284</v>
      </c>
      <c r="E12" s="229">
        <f t="shared" ref="E12:BA12" si="47">E9+E10+E11</f>
        <v>1406.0269741105542</v>
      </c>
      <c r="F12" s="229">
        <f t="shared" si="47"/>
        <v>3140.3632201774572</v>
      </c>
      <c r="G12" s="229">
        <f t="shared" si="47"/>
        <v>1551.7879769445578</v>
      </c>
      <c r="H12" s="229">
        <f t="shared" si="47"/>
        <v>14970.534415282655</v>
      </c>
      <c r="I12" s="229">
        <f t="shared" si="47"/>
        <v>2779.0957014470173</v>
      </c>
      <c r="J12" s="229">
        <f t="shared" si="47"/>
        <v>1370.2771757344503</v>
      </c>
      <c r="K12" s="229">
        <f t="shared" si="47"/>
        <v>354.28125629039886</v>
      </c>
      <c r="L12" s="229">
        <f t="shared" si="47"/>
        <v>7513.2048854734503</v>
      </c>
      <c r="M12" s="229">
        <f t="shared" si="47"/>
        <v>4118.6635101532993</v>
      </c>
      <c r="N12" s="229">
        <f t="shared" si="47"/>
        <v>558.55937373605502</v>
      </c>
      <c r="O12" s="229">
        <f t="shared" si="47"/>
        <v>1022.6383602266451</v>
      </c>
      <c r="P12" s="229">
        <f t="shared" si="47"/>
        <v>5429.9210936560703</v>
      </c>
      <c r="Q12" s="229">
        <f t="shared" si="47"/>
        <v>2797.9878042372511</v>
      </c>
      <c r="R12" s="229">
        <f t="shared" si="47"/>
        <v>1821.5574018837297</v>
      </c>
      <c r="S12" s="229">
        <f t="shared" si="47"/>
        <v>2065.5080572153893</v>
      </c>
      <c r="T12" s="229">
        <f t="shared" si="47"/>
        <v>2043.3341885002828</v>
      </c>
      <c r="U12" s="229">
        <f t="shared" si="47"/>
        <v>2014.1180382150278</v>
      </c>
      <c r="V12" s="229">
        <f t="shared" si="47"/>
        <v>682.5253684209863</v>
      </c>
      <c r="W12" s="229">
        <f t="shared" si="47"/>
        <v>2257.4570070701798</v>
      </c>
      <c r="X12" s="229">
        <f t="shared" si="47"/>
        <v>2518.4668170447121</v>
      </c>
      <c r="Y12" s="229">
        <f t="shared" si="47"/>
        <v>4095.7094183344052</v>
      </c>
      <c r="Z12" s="229">
        <f t="shared" si="47"/>
        <v>2724.3456963941953</v>
      </c>
      <c r="AA12" s="229">
        <f t="shared" si="47"/>
        <v>1523.9707602730432</v>
      </c>
      <c r="AB12" s="229">
        <f t="shared" si="47"/>
        <v>2999.1503623794192</v>
      </c>
      <c r="AC12" s="229">
        <f t="shared" si="47"/>
        <v>1869.5817283349936</v>
      </c>
      <c r="AD12" s="229">
        <f t="shared" si="47"/>
        <v>1660.7907257070399</v>
      </c>
      <c r="AE12" s="229">
        <f t="shared" si="47"/>
        <v>1238.2995170565196</v>
      </c>
      <c r="AF12" s="229">
        <f t="shared" si="47"/>
        <v>547.20650615063482</v>
      </c>
      <c r="AG12" s="229">
        <f t="shared" si="47"/>
        <v>3350.0848449550494</v>
      </c>
      <c r="AH12" s="229">
        <f t="shared" si="47"/>
        <v>1899.8347005075175</v>
      </c>
      <c r="AI12" s="229">
        <f t="shared" si="47"/>
        <v>7636.6802146612172</v>
      </c>
      <c r="AJ12" s="229">
        <f t="shared" si="47"/>
        <v>3965.9309392833929</v>
      </c>
      <c r="AK12" s="229">
        <f t="shared" si="47"/>
        <v>1095.1130787639893</v>
      </c>
      <c r="AL12" s="229">
        <f t="shared" si="47"/>
        <v>4690.3244252270779</v>
      </c>
      <c r="AM12" s="229">
        <f t="shared" si="47"/>
        <v>2260.6267195500855</v>
      </c>
      <c r="AN12" s="229">
        <f t="shared" si="47"/>
        <v>2056.8238042021576</v>
      </c>
      <c r="AO12" s="229">
        <f t="shared" si="47"/>
        <v>5093.5835703462899</v>
      </c>
      <c r="AP12" s="229">
        <f t="shared" si="47"/>
        <v>399.15293342844791</v>
      </c>
      <c r="AQ12" s="229">
        <f t="shared" si="47"/>
        <v>1973.1116512534838</v>
      </c>
      <c r="AR12" s="229">
        <f t="shared" si="47"/>
        <v>1242.3947671673254</v>
      </c>
      <c r="AS12" s="229">
        <f t="shared" si="47"/>
        <v>2752.4712490284437</v>
      </c>
      <c r="AT12" s="229">
        <f t="shared" si="47"/>
        <v>12897.291753526661</v>
      </c>
      <c r="AU12" s="229">
        <f t="shared" si="47"/>
        <v>1449.3043250533453</v>
      </c>
      <c r="AV12" s="229">
        <f t="shared" si="47"/>
        <v>301.27643018227616</v>
      </c>
      <c r="AW12" s="229">
        <f t="shared" si="47"/>
        <v>3350.0124894983301</v>
      </c>
      <c r="AX12" s="229">
        <f t="shared" si="47"/>
        <v>3070.1572799857458</v>
      </c>
      <c r="AY12" s="229">
        <f t="shared" si="47"/>
        <v>880.0398971734578</v>
      </c>
      <c r="AZ12" s="229">
        <f t="shared" si="47"/>
        <v>2608.2875765001259</v>
      </c>
      <c r="BA12" s="229">
        <f t="shared" si="47"/>
        <v>939.25779926372775</v>
      </c>
    </row>
    <row r="13" spans="1:56" x14ac:dyDescent="0.2">
      <c r="A13">
        <v>10</v>
      </c>
      <c r="B13" t="s">
        <v>366</v>
      </c>
      <c r="D13" s="68">
        <f>IF(D5=0,0,D12/365)</f>
        <v>6.0078800273737762</v>
      </c>
      <c r="E13" s="68">
        <f t="shared" ref="E13:BA13" si="48">IF(E5=0,0,E12/365)</f>
        <v>0</v>
      </c>
      <c r="F13" s="68">
        <f t="shared" si="48"/>
        <v>8.6037348498012527</v>
      </c>
      <c r="G13" s="68">
        <f t="shared" si="48"/>
        <v>4.251473909437145</v>
      </c>
      <c r="H13" s="68">
        <f t="shared" si="48"/>
        <v>41.015162781596317</v>
      </c>
      <c r="I13" s="68">
        <f t="shared" si="48"/>
        <v>7.6139608258822395</v>
      </c>
      <c r="J13" s="68">
        <f t="shared" si="48"/>
        <v>3.7541840431080833</v>
      </c>
      <c r="K13" s="68">
        <f t="shared" si="48"/>
        <v>0.9706335788778051</v>
      </c>
      <c r="L13" s="68">
        <f t="shared" si="48"/>
        <v>20.584122973899863</v>
      </c>
      <c r="M13" s="68">
        <f t="shared" si="48"/>
        <v>11.284009616858354</v>
      </c>
      <c r="N13" s="68">
        <f t="shared" si="48"/>
        <v>0</v>
      </c>
      <c r="O13" s="68">
        <f t="shared" si="48"/>
        <v>0</v>
      </c>
      <c r="P13" s="68">
        <f t="shared" si="48"/>
        <v>14.876496147002932</v>
      </c>
      <c r="Q13" s="68">
        <f t="shared" si="48"/>
        <v>7.665720011608907</v>
      </c>
      <c r="R13" s="68">
        <f t="shared" si="48"/>
        <v>0</v>
      </c>
      <c r="S13" s="68">
        <f t="shared" si="48"/>
        <v>5.6589261841517517</v>
      </c>
      <c r="T13" s="68">
        <f t="shared" si="48"/>
        <v>5.5981758589048844</v>
      </c>
      <c r="U13" s="68">
        <f t="shared" si="48"/>
        <v>5.5181316115480215</v>
      </c>
      <c r="V13" s="68">
        <f t="shared" si="48"/>
        <v>1.8699325162218803</v>
      </c>
      <c r="W13" s="68">
        <f t="shared" si="48"/>
        <v>6.184813718000493</v>
      </c>
      <c r="X13" s="68">
        <f t="shared" si="48"/>
        <v>6.8999090877937315</v>
      </c>
      <c r="Y13" s="68">
        <f t="shared" si="48"/>
        <v>11.221121694066863</v>
      </c>
      <c r="Z13" s="68">
        <f t="shared" si="48"/>
        <v>7.4639608120388914</v>
      </c>
      <c r="AA13" s="68">
        <f t="shared" si="48"/>
        <v>4.1752623569124472</v>
      </c>
      <c r="AB13" s="68">
        <f t="shared" si="48"/>
        <v>8.2168503078888193</v>
      </c>
      <c r="AC13" s="68">
        <f t="shared" si="48"/>
        <v>0</v>
      </c>
      <c r="AD13" s="68">
        <f t="shared" si="48"/>
        <v>0</v>
      </c>
      <c r="AE13" s="68">
        <f t="shared" si="48"/>
        <v>3.3926014165932044</v>
      </c>
      <c r="AF13" s="68">
        <f t="shared" si="48"/>
        <v>1.4991959072620131</v>
      </c>
      <c r="AG13" s="68">
        <f t="shared" si="48"/>
        <v>9.178314643712465</v>
      </c>
      <c r="AH13" s="68">
        <f t="shared" si="48"/>
        <v>5.2050265767329247</v>
      </c>
      <c r="AI13" s="68">
        <f t="shared" si="48"/>
        <v>20.922411547017035</v>
      </c>
      <c r="AJ13" s="68">
        <f t="shared" si="48"/>
        <v>10.865564217214775</v>
      </c>
      <c r="AK13" s="68">
        <f t="shared" si="48"/>
        <v>0</v>
      </c>
      <c r="AL13" s="68">
        <f t="shared" si="48"/>
        <v>12.850203904731719</v>
      </c>
      <c r="AM13" s="68">
        <f t="shared" si="48"/>
        <v>6.1934978617810561</v>
      </c>
      <c r="AN13" s="68">
        <f t="shared" si="48"/>
        <v>5.6351337101428971</v>
      </c>
      <c r="AO13" s="68">
        <f t="shared" si="48"/>
        <v>13.955023480400794</v>
      </c>
      <c r="AP13" s="68">
        <f t="shared" si="48"/>
        <v>1.0935696806258848</v>
      </c>
      <c r="AQ13" s="68">
        <f t="shared" si="48"/>
        <v>5.4057853458999556</v>
      </c>
      <c r="AR13" s="68">
        <f t="shared" si="48"/>
        <v>0</v>
      </c>
      <c r="AS13" s="68">
        <f t="shared" si="48"/>
        <v>7.5410171206258729</v>
      </c>
      <c r="AT13" s="68">
        <f t="shared" si="48"/>
        <v>35.335045900073041</v>
      </c>
      <c r="AU13" s="68">
        <f t="shared" si="48"/>
        <v>3.9706967809680696</v>
      </c>
      <c r="AV13" s="68">
        <f t="shared" si="48"/>
        <v>0.82541487721171547</v>
      </c>
      <c r="AW13" s="68">
        <f t="shared" si="48"/>
        <v>9.1781164095844652</v>
      </c>
      <c r="AX13" s="68">
        <f t="shared" si="48"/>
        <v>0</v>
      </c>
      <c r="AY13" s="68">
        <f t="shared" si="48"/>
        <v>2.4110682114341309</v>
      </c>
      <c r="AZ13" s="68">
        <f t="shared" si="48"/>
        <v>7.1459933602743178</v>
      </c>
      <c r="BA13" s="68">
        <f t="shared" si="48"/>
        <v>2.5733090390787061</v>
      </c>
    </row>
    <row r="14" spans="1:56" x14ac:dyDescent="0.2">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row>
    <row r="15" spans="1:56" x14ac:dyDescent="0.2">
      <c r="B15" s="59" t="s">
        <v>579</v>
      </c>
    </row>
    <row r="16" spans="1:56" x14ac:dyDescent="0.2">
      <c r="A16">
        <v>1</v>
      </c>
      <c r="B16" t="s">
        <v>746</v>
      </c>
    </row>
    <row r="17" spans="1:13" x14ac:dyDescent="0.2">
      <c r="A17">
        <v>2</v>
      </c>
      <c r="B17" t="s">
        <v>361</v>
      </c>
    </row>
    <row r="18" spans="1:13" x14ac:dyDescent="0.2">
      <c r="A18">
        <v>3</v>
      </c>
      <c r="B18" t="s">
        <v>638</v>
      </c>
    </row>
    <row r="19" spans="1:13" x14ac:dyDescent="0.2">
      <c r="A19">
        <v>4</v>
      </c>
      <c r="B19" t="s">
        <v>639</v>
      </c>
    </row>
    <row r="20" spans="1:13" x14ac:dyDescent="0.2">
      <c r="A20">
        <v>5</v>
      </c>
      <c r="B20" t="s">
        <v>607</v>
      </c>
    </row>
    <row r="21" spans="1:13" x14ac:dyDescent="0.2">
      <c r="A21">
        <v>6</v>
      </c>
      <c r="B21" t="s">
        <v>362</v>
      </c>
    </row>
    <row r="22" spans="1:13" x14ac:dyDescent="0.2">
      <c r="A22">
        <v>7</v>
      </c>
      <c r="B22" t="s">
        <v>362</v>
      </c>
    </row>
    <row r="23" spans="1:13" x14ac:dyDescent="0.2">
      <c r="A23">
        <v>8</v>
      </c>
      <c r="B23" t="s">
        <v>362</v>
      </c>
    </row>
    <row r="24" spans="1:13" x14ac:dyDescent="0.2">
      <c r="A24">
        <v>9</v>
      </c>
      <c r="B24" t="s">
        <v>628</v>
      </c>
    </row>
    <row r="25" spans="1:13" x14ac:dyDescent="0.2">
      <c r="A25">
        <v>10</v>
      </c>
      <c r="B25" t="s">
        <v>747</v>
      </c>
    </row>
    <row r="27" spans="1:13" x14ac:dyDescent="0.2">
      <c r="B27" s="96"/>
    </row>
    <row r="29" spans="1:13" x14ac:dyDescent="0.2">
      <c r="B29" s="125"/>
      <c r="C29" s="137"/>
      <c r="D29" s="138"/>
      <c r="E29" s="138"/>
      <c r="F29" s="138"/>
      <c r="G29" s="138"/>
      <c r="H29" s="138"/>
      <c r="I29" s="138"/>
      <c r="J29" s="138"/>
      <c r="K29" s="138"/>
      <c r="L29" s="138"/>
      <c r="M29" s="138"/>
    </row>
    <row r="30" spans="1:13" x14ac:dyDescent="0.2">
      <c r="B30" s="125"/>
      <c r="C30" s="137"/>
      <c r="D30" s="125"/>
      <c r="E30" s="139"/>
      <c r="F30" s="139"/>
      <c r="G30" s="139"/>
      <c r="H30" s="139"/>
      <c r="I30" s="139"/>
      <c r="J30" s="140"/>
      <c r="K30" s="140"/>
      <c r="L30" s="140"/>
      <c r="M30" s="140"/>
    </row>
    <row r="31" spans="1:13" x14ac:dyDescent="0.2">
      <c r="B31" s="125"/>
      <c r="C31" s="141"/>
      <c r="D31" s="141"/>
      <c r="E31" s="141"/>
      <c r="F31" s="141"/>
      <c r="G31" s="141"/>
      <c r="H31" s="141"/>
      <c r="I31" s="141"/>
      <c r="J31" s="141"/>
      <c r="K31" s="141"/>
      <c r="L31" s="141"/>
      <c r="M31" s="141"/>
    </row>
  </sheetData>
  <phoneticPr fontId="103" type="noConversion"/>
  <pageMargins left="0.75" right="0.75" top="1" bottom="1"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workbookViewId="0"/>
  </sheetViews>
  <sheetFormatPr baseColWidth="10" defaultColWidth="11" defaultRowHeight="16" x14ac:dyDescent="0.2"/>
  <cols>
    <col min="2" max="2" width="34.83203125" customWidth="1"/>
    <col min="3" max="3" width="21.5" customWidth="1"/>
    <col min="4" max="4" width="15.5" bestFit="1" customWidth="1"/>
    <col min="5" max="5" width="14.83203125" bestFit="1" customWidth="1"/>
    <col min="6" max="6" width="13.83203125" bestFit="1" customWidth="1"/>
    <col min="7" max="8" width="14.83203125" bestFit="1" customWidth="1"/>
    <col min="9" max="9" width="15.83203125" bestFit="1" customWidth="1"/>
    <col min="10" max="11" width="14.83203125" bestFit="1" customWidth="1"/>
    <col min="12" max="12" width="13.83203125" bestFit="1" customWidth="1"/>
    <col min="13" max="13" width="15.83203125" bestFit="1" customWidth="1"/>
    <col min="14" max="16" width="14.83203125" bestFit="1" customWidth="1"/>
    <col min="17" max="17" width="15.83203125" bestFit="1" customWidth="1"/>
    <col min="18" max="22" width="14.83203125" bestFit="1" customWidth="1"/>
    <col min="23" max="23" width="13.83203125" bestFit="1" customWidth="1"/>
    <col min="24" max="29" width="14.83203125" bestFit="1" customWidth="1"/>
    <col min="30" max="30" width="13.83203125" bestFit="1" customWidth="1"/>
    <col min="31" max="32" width="14.83203125" bestFit="1" customWidth="1"/>
    <col min="33" max="33" width="13.83203125" bestFit="1" customWidth="1"/>
    <col min="34" max="35" width="14.83203125" bestFit="1" customWidth="1"/>
    <col min="36" max="36" width="15.83203125" bestFit="1" customWidth="1"/>
    <col min="37" max="37" width="14.83203125" bestFit="1" customWidth="1"/>
    <col min="38" max="38" width="13.83203125" bestFit="1" customWidth="1"/>
    <col min="39" max="42" width="14.83203125" bestFit="1" customWidth="1"/>
    <col min="43" max="43" width="13.83203125" bestFit="1" customWidth="1"/>
    <col min="44" max="44" width="14.83203125" bestFit="1" customWidth="1"/>
    <col min="45" max="45" width="13.83203125" bestFit="1" customWidth="1"/>
    <col min="46" max="46" width="14.83203125" bestFit="1" customWidth="1"/>
    <col min="47" max="47" width="15.83203125" bestFit="1" customWidth="1"/>
    <col min="48" max="48" width="14.83203125" bestFit="1" customWidth="1"/>
    <col min="49" max="49" width="13.83203125" bestFit="1" customWidth="1"/>
    <col min="50" max="51" width="14.83203125" bestFit="1" customWidth="1"/>
    <col min="52" max="52" width="13.83203125" bestFit="1" customWidth="1"/>
    <col min="53" max="53" width="14.83203125" bestFit="1" customWidth="1"/>
    <col min="54" max="54" width="13.83203125" bestFit="1" customWidth="1"/>
    <col min="56" max="56" width="96.83203125" bestFit="1" customWidth="1"/>
  </cols>
  <sheetData>
    <row r="1" spans="1:56" s="3" customFormat="1" x14ac:dyDescent="0.2">
      <c r="C1" s="3">
        <v>2011</v>
      </c>
      <c r="D1" s="6"/>
      <c r="E1" s="3">
        <v>1</v>
      </c>
      <c r="F1" s="3">
        <f>E1+1</f>
        <v>2</v>
      </c>
      <c r="G1" s="3">
        <f t="shared" ref="G1:L1" si="0">F1+1</f>
        <v>3</v>
      </c>
      <c r="H1" s="3">
        <f t="shared" si="0"/>
        <v>4</v>
      </c>
      <c r="I1" s="3">
        <f t="shared" si="0"/>
        <v>5</v>
      </c>
      <c r="J1" s="3">
        <f t="shared" si="0"/>
        <v>6</v>
      </c>
      <c r="K1" s="3">
        <f t="shared" si="0"/>
        <v>7</v>
      </c>
      <c r="L1" s="3">
        <f t="shared" si="0"/>
        <v>8</v>
      </c>
      <c r="M1" s="3">
        <f t="shared" ref="M1" si="1">L1+1</f>
        <v>9</v>
      </c>
      <c r="N1" s="3">
        <f t="shared" ref="N1" si="2">M1+1</f>
        <v>10</v>
      </c>
      <c r="O1" s="3">
        <f t="shared" ref="O1" si="3">N1+1</f>
        <v>11</v>
      </c>
      <c r="P1" s="3">
        <f t="shared" ref="P1" si="4">O1+1</f>
        <v>12</v>
      </c>
      <c r="Q1" s="3">
        <f t="shared" ref="Q1" si="5">P1+1</f>
        <v>13</v>
      </c>
      <c r="R1" s="3">
        <f t="shared" ref="R1" si="6">Q1+1</f>
        <v>14</v>
      </c>
      <c r="S1" s="3">
        <f t="shared" ref="S1" si="7">R1+1</f>
        <v>15</v>
      </c>
      <c r="T1" s="3">
        <f t="shared" ref="T1" si="8">S1+1</f>
        <v>16</v>
      </c>
      <c r="U1" s="3">
        <f t="shared" ref="U1" si="9">T1+1</f>
        <v>17</v>
      </c>
      <c r="V1" s="3">
        <f t="shared" ref="V1" si="10">U1+1</f>
        <v>18</v>
      </c>
      <c r="W1" s="3">
        <f t="shared" ref="W1" si="11">V1+1</f>
        <v>19</v>
      </c>
      <c r="X1" s="3">
        <f t="shared" ref="X1" si="12">W1+1</f>
        <v>20</v>
      </c>
      <c r="Y1" s="3">
        <f t="shared" ref="Y1" si="13">X1+1</f>
        <v>21</v>
      </c>
      <c r="Z1" s="3">
        <f t="shared" ref="Z1" si="14">Y1+1</f>
        <v>22</v>
      </c>
      <c r="AA1" s="3">
        <f t="shared" ref="AA1" si="15">Z1+1</f>
        <v>23</v>
      </c>
      <c r="AB1" s="3">
        <f t="shared" ref="AB1" si="16">AA1+1</f>
        <v>24</v>
      </c>
      <c r="AC1" s="3">
        <f t="shared" ref="AC1" si="17">AB1+1</f>
        <v>25</v>
      </c>
      <c r="AD1" s="3">
        <f t="shared" ref="AD1" si="18">AC1+1</f>
        <v>26</v>
      </c>
      <c r="AE1" s="3">
        <f t="shared" ref="AE1" si="19">AD1+1</f>
        <v>27</v>
      </c>
      <c r="AF1" s="3">
        <f t="shared" ref="AF1" si="20">AE1+1</f>
        <v>28</v>
      </c>
      <c r="AG1" s="3">
        <f t="shared" ref="AG1" si="21">AF1+1</f>
        <v>29</v>
      </c>
      <c r="AH1" s="3">
        <f t="shared" ref="AH1" si="22">AG1+1</f>
        <v>30</v>
      </c>
      <c r="AI1" s="3">
        <f t="shared" ref="AI1" si="23">AH1+1</f>
        <v>31</v>
      </c>
      <c r="AJ1" s="3">
        <f t="shared" ref="AJ1" si="24">AI1+1</f>
        <v>32</v>
      </c>
      <c r="AK1" s="3">
        <f t="shared" ref="AK1" si="25">AJ1+1</f>
        <v>33</v>
      </c>
      <c r="AL1" s="3">
        <f t="shared" ref="AL1" si="26">AK1+1</f>
        <v>34</v>
      </c>
      <c r="AM1" s="3">
        <f t="shared" ref="AM1" si="27">AL1+1</f>
        <v>35</v>
      </c>
      <c r="AN1" s="3">
        <f t="shared" ref="AN1" si="28">AM1+1</f>
        <v>36</v>
      </c>
      <c r="AO1" s="3">
        <f t="shared" ref="AO1" si="29">AN1+1</f>
        <v>37</v>
      </c>
      <c r="AP1" s="3">
        <f t="shared" ref="AP1" si="30">AO1+1</f>
        <v>38</v>
      </c>
      <c r="AQ1" s="3">
        <f t="shared" ref="AQ1" si="31">AP1+1</f>
        <v>39</v>
      </c>
      <c r="AR1" s="3">
        <f t="shared" ref="AR1" si="32">AQ1+1</f>
        <v>40</v>
      </c>
      <c r="AS1" s="3">
        <f t="shared" ref="AS1" si="33">AR1+1</f>
        <v>41</v>
      </c>
      <c r="AT1" s="3">
        <f t="shared" ref="AT1" si="34">AS1+1</f>
        <v>42</v>
      </c>
      <c r="AU1" s="3">
        <f t="shared" ref="AU1" si="35">AT1+1</f>
        <v>43</v>
      </c>
      <c r="AV1" s="3">
        <f t="shared" ref="AV1" si="36">AU1+1</f>
        <v>44</v>
      </c>
      <c r="AW1" s="3">
        <f t="shared" ref="AW1" si="37">AV1+1</f>
        <v>45</v>
      </c>
      <c r="AX1" s="3">
        <f t="shared" ref="AX1" si="38">AW1+1</f>
        <v>46</v>
      </c>
      <c r="AY1" s="3">
        <f t="shared" ref="AY1" si="39">AX1+1</f>
        <v>47</v>
      </c>
      <c r="AZ1" s="3">
        <f t="shared" ref="AZ1" si="40">AY1+1</f>
        <v>48</v>
      </c>
      <c r="BA1" s="3">
        <f t="shared" ref="BA1" si="41">AZ1+1</f>
        <v>49</v>
      </c>
      <c r="BB1" s="3">
        <f t="shared" ref="BB1" si="42">BA1+1</f>
        <v>50</v>
      </c>
      <c r="BD1" s="2"/>
    </row>
    <row r="2" spans="1:56" s="3" customFormat="1" x14ac:dyDescent="0.2">
      <c r="D2" s="6" t="s">
        <v>95</v>
      </c>
      <c r="E2" s="4" t="s">
        <v>144</v>
      </c>
      <c r="F2" s="4" t="s">
        <v>145</v>
      </c>
      <c r="G2" s="4" t="s">
        <v>146</v>
      </c>
      <c r="H2" s="4" t="s">
        <v>147</v>
      </c>
      <c r="I2" s="4" t="s">
        <v>148</v>
      </c>
      <c r="J2" s="4" t="s">
        <v>149</v>
      </c>
      <c r="K2" s="4" t="s">
        <v>150</v>
      </c>
      <c r="L2" s="4" t="s">
        <v>151</v>
      </c>
      <c r="M2" s="4" t="s">
        <v>152</v>
      </c>
      <c r="N2" s="4" t="s">
        <v>153</v>
      </c>
      <c r="O2" s="4" t="s">
        <v>154</v>
      </c>
      <c r="P2" s="4" t="s">
        <v>155</v>
      </c>
      <c r="Q2" s="4" t="s">
        <v>156</v>
      </c>
      <c r="R2" s="4" t="s">
        <v>2</v>
      </c>
      <c r="S2" s="4" t="s">
        <v>3</v>
      </c>
      <c r="T2" s="4" t="s">
        <v>4</v>
      </c>
      <c r="U2" s="4" t="s">
        <v>5</v>
      </c>
      <c r="V2" s="4" t="s">
        <v>6</v>
      </c>
      <c r="W2" s="4" t="s">
        <v>7</v>
      </c>
      <c r="X2" s="4" t="s">
        <v>8</v>
      </c>
      <c r="Y2" s="4" t="s">
        <v>9</v>
      </c>
      <c r="Z2" s="4" t="s">
        <v>10</v>
      </c>
      <c r="AA2" s="4" t="s">
        <v>11</v>
      </c>
      <c r="AB2" s="4" t="s">
        <v>12</v>
      </c>
      <c r="AC2" s="4" t="s">
        <v>13</v>
      </c>
      <c r="AD2" s="4" t="s">
        <v>14</v>
      </c>
      <c r="AE2" s="4" t="s">
        <v>15</v>
      </c>
      <c r="AF2" s="4" t="s">
        <v>16</v>
      </c>
      <c r="AG2" s="4" t="s">
        <v>17</v>
      </c>
      <c r="AH2" s="4" t="s">
        <v>18</v>
      </c>
      <c r="AI2" s="4" t="s">
        <v>19</v>
      </c>
      <c r="AJ2" s="4" t="s">
        <v>20</v>
      </c>
      <c r="AK2" s="4" t="s">
        <v>21</v>
      </c>
      <c r="AL2" s="4" t="s">
        <v>22</v>
      </c>
      <c r="AM2" s="4" t="s">
        <v>23</v>
      </c>
      <c r="AN2" s="4" t="s">
        <v>24</v>
      </c>
      <c r="AO2" s="4" t="s">
        <v>25</v>
      </c>
      <c r="AP2" s="4" t="s">
        <v>26</v>
      </c>
      <c r="AQ2" s="4" t="s">
        <v>27</v>
      </c>
      <c r="AR2" s="4" t="s">
        <v>28</v>
      </c>
      <c r="AS2" s="4" t="s">
        <v>29</v>
      </c>
      <c r="AT2" s="4" t="s">
        <v>30</v>
      </c>
      <c r="AU2" s="4" t="s">
        <v>31</v>
      </c>
      <c r="AV2" s="4" t="s">
        <v>32</v>
      </c>
      <c r="AW2" s="4" t="s">
        <v>33</v>
      </c>
      <c r="AX2" s="4" t="s">
        <v>34</v>
      </c>
      <c r="AY2" s="4" t="s">
        <v>35</v>
      </c>
      <c r="AZ2" s="4" t="s">
        <v>36</v>
      </c>
      <c r="BA2" s="4" t="s">
        <v>37</v>
      </c>
      <c r="BB2" s="4" t="s">
        <v>38</v>
      </c>
      <c r="BD2" s="3" t="s">
        <v>92</v>
      </c>
    </row>
    <row r="3" spans="1:56" s="3" customFormat="1" x14ac:dyDescent="0.2">
      <c r="D3" s="6" t="s">
        <v>96</v>
      </c>
      <c r="E3" s="3" t="s">
        <v>39</v>
      </c>
      <c r="F3" s="3" t="s">
        <v>40</v>
      </c>
      <c r="G3" s="3" t="s">
        <v>41</v>
      </c>
      <c r="H3" s="3" t="s">
        <v>42</v>
      </c>
      <c r="I3" s="3" t="s">
        <v>43</v>
      </c>
      <c r="J3" s="3" t="s">
        <v>44</v>
      </c>
      <c r="K3" s="3" t="s">
        <v>45</v>
      </c>
      <c r="L3" s="3" t="s">
        <v>46</v>
      </c>
      <c r="M3" s="3" t="s">
        <v>47</v>
      </c>
      <c r="N3" s="3" t="s">
        <v>48</v>
      </c>
      <c r="O3" s="3" t="s">
        <v>49</v>
      </c>
      <c r="P3" s="3" t="s">
        <v>50</v>
      </c>
      <c r="Q3" s="3" t="s">
        <v>51</v>
      </c>
      <c r="R3" s="3" t="s">
        <v>52</v>
      </c>
      <c r="S3" s="3" t="s">
        <v>53</v>
      </c>
      <c r="T3" s="3" t="s">
        <v>54</v>
      </c>
      <c r="U3" s="3" t="s">
        <v>55</v>
      </c>
      <c r="V3" s="3" t="s">
        <v>56</v>
      </c>
      <c r="W3" s="3" t="s">
        <v>57</v>
      </c>
      <c r="X3" s="3" t="s">
        <v>58</v>
      </c>
      <c r="Y3" s="3" t="s">
        <v>59</v>
      </c>
      <c r="Z3" s="3" t="s">
        <v>60</v>
      </c>
      <c r="AA3" s="3" t="s">
        <v>61</v>
      </c>
      <c r="AB3" s="3" t="s">
        <v>62</v>
      </c>
      <c r="AC3" s="3" t="s">
        <v>63</v>
      </c>
      <c r="AD3" s="3" t="s">
        <v>64</v>
      </c>
      <c r="AE3" s="3" t="s">
        <v>65</v>
      </c>
      <c r="AF3" s="3" t="s">
        <v>66</v>
      </c>
      <c r="AG3" s="3" t="s">
        <v>67</v>
      </c>
      <c r="AH3" s="3" t="s">
        <v>68</v>
      </c>
      <c r="AI3" s="3" t="s">
        <v>69</v>
      </c>
      <c r="AJ3" s="3" t="s">
        <v>70</v>
      </c>
      <c r="AK3" s="3" t="s">
        <v>71</v>
      </c>
      <c r="AL3" s="3" t="s">
        <v>72</v>
      </c>
      <c r="AM3" s="3" t="s">
        <v>73</v>
      </c>
      <c r="AN3" s="3" t="s">
        <v>74</v>
      </c>
      <c r="AO3" s="3" t="s">
        <v>75</v>
      </c>
      <c r="AP3" s="3" t="s">
        <v>76</v>
      </c>
      <c r="AQ3" s="3" t="s">
        <v>77</v>
      </c>
      <c r="AR3" s="3" t="s">
        <v>78</v>
      </c>
      <c r="AS3" s="3" t="s">
        <v>79</v>
      </c>
      <c r="AT3" s="3" t="s">
        <v>80</v>
      </c>
      <c r="AU3" s="3" t="s">
        <v>81</v>
      </c>
      <c r="AV3" s="3" t="s">
        <v>82</v>
      </c>
      <c r="AW3" s="3" t="s">
        <v>83</v>
      </c>
      <c r="AX3" s="3" t="s">
        <v>84</v>
      </c>
      <c r="AY3" s="3" t="s">
        <v>85</v>
      </c>
      <c r="AZ3" s="3" t="s">
        <v>86</v>
      </c>
      <c r="BA3" s="3" t="s">
        <v>87</v>
      </c>
      <c r="BB3" s="3" t="s">
        <v>88</v>
      </c>
      <c r="BD3" s="2"/>
    </row>
    <row r="4" spans="1:56" s="3" customFormat="1" x14ac:dyDescent="0.2">
      <c r="A4" s="3">
        <v>1</v>
      </c>
      <c r="B4" s="268" t="s">
        <v>770</v>
      </c>
      <c r="C4" s="269"/>
      <c r="D4" s="246">
        <f>SUM(E4:BB4)</f>
        <v>31.561925739644639</v>
      </c>
      <c r="E4" s="262">
        <f>E6*$D7</f>
        <v>0.35817821773557662</v>
      </c>
      <c r="F4" s="262">
        <f>F6*$D7</f>
        <v>5.9517691182196825E-2</v>
      </c>
      <c r="G4" s="262">
        <f t="shared" ref="G4:BB4" si="43">G6*$D7</f>
        <v>0.72867534713527149</v>
      </c>
      <c r="H4" s="262">
        <f t="shared" si="43"/>
        <v>0.20786302287592803</v>
      </c>
      <c r="I4" s="262">
        <f t="shared" si="43"/>
        <v>4.4900549974273556</v>
      </c>
      <c r="J4" s="262">
        <f t="shared" si="43"/>
        <v>0.54996754305196782</v>
      </c>
      <c r="K4" s="262">
        <f t="shared" si="43"/>
        <v>0.39919488399681902</v>
      </c>
      <c r="L4" s="262">
        <f t="shared" si="43"/>
        <v>9.4938925516126135E-2</v>
      </c>
      <c r="M4" s="262">
        <f t="shared" si="43"/>
        <v>2.1756007065642464</v>
      </c>
      <c r="N4" s="262">
        <f t="shared" si="43"/>
        <v>0.92307122829367005</v>
      </c>
      <c r="O4" s="262">
        <f t="shared" si="43"/>
        <v>0.15872750953572376</v>
      </c>
      <c r="P4" s="262">
        <f t="shared" si="43"/>
        <v>0.14043414594213841</v>
      </c>
      <c r="Q4" s="262">
        <f t="shared" si="43"/>
        <v>1.4411331823565383</v>
      </c>
      <c r="R4" s="262">
        <f t="shared" si="43"/>
        <v>0.59621394913529679</v>
      </c>
      <c r="S4" s="262">
        <f t="shared" si="43"/>
        <v>0.2475505804825972</v>
      </c>
      <c r="T4" s="262">
        <f t="shared" si="43"/>
        <v>0.26871083817151159</v>
      </c>
      <c r="U4" s="262">
        <f t="shared" si="43"/>
        <v>0.32156318463397848</v>
      </c>
      <c r="V4" s="262">
        <f t="shared" si="43"/>
        <v>0.42113679110745639</v>
      </c>
      <c r="W4" s="262">
        <f t="shared" si="43"/>
        <v>6.5185093752919587E-2</v>
      </c>
      <c r="X4" s="262">
        <f t="shared" si="43"/>
        <v>0.63901947302894302</v>
      </c>
      <c r="Y4" s="262">
        <f t="shared" si="43"/>
        <v>0.76438522563694977</v>
      </c>
      <c r="Z4" s="262">
        <f t="shared" si="43"/>
        <v>0.93548597388331622</v>
      </c>
      <c r="AA4" s="262">
        <f t="shared" si="43"/>
        <v>0.49329859463880787</v>
      </c>
      <c r="AB4" s="262">
        <f t="shared" si="43"/>
        <v>0.18585739572474097</v>
      </c>
      <c r="AC4" s="262">
        <f t="shared" si="43"/>
        <v>0.53544775134185152</v>
      </c>
      <c r="AD4" s="262">
        <f t="shared" si="43"/>
        <v>7.019536753892977E-2</v>
      </c>
      <c r="AE4" s="262">
        <f t="shared" si="43"/>
        <v>0.16954176510287797</v>
      </c>
      <c r="AF4" s="262">
        <f t="shared" si="43"/>
        <v>0.32289013543857287</v>
      </c>
      <c r="AG4" s="262">
        <f t="shared" si="43"/>
        <v>0.10076803990290527</v>
      </c>
      <c r="AH4" s="262">
        <f t="shared" si="43"/>
        <v>1.0566008889654896</v>
      </c>
      <c r="AI4" s="262">
        <f t="shared" si="43"/>
        <v>0.20237599117696045</v>
      </c>
      <c r="AJ4" s="262">
        <f t="shared" si="43"/>
        <v>2.1614174125184671</v>
      </c>
      <c r="AK4" s="262">
        <f t="shared" si="43"/>
        <v>0.79989670887293252</v>
      </c>
      <c r="AL4" s="262">
        <f t="shared" si="43"/>
        <v>5.1137490391099889E-2</v>
      </c>
      <c r="AM4" s="262">
        <f t="shared" si="43"/>
        <v>1.141083000416828</v>
      </c>
      <c r="AN4" s="262">
        <f t="shared" si="43"/>
        <v>0.31543057499430233</v>
      </c>
      <c r="AO4" s="262">
        <f t="shared" si="43"/>
        <v>0.39404650781216727</v>
      </c>
      <c r="AP4" s="262">
        <f t="shared" si="43"/>
        <v>1.2682175553456712</v>
      </c>
      <c r="AQ4" s="262">
        <f t="shared" si="43"/>
        <v>0.1212258539575528</v>
      </c>
      <c r="AR4" s="262">
        <f t="shared" si="43"/>
        <v>0.38940421091371391</v>
      </c>
      <c r="AS4" s="262">
        <f t="shared" si="43"/>
        <v>5.8547166421155233E-2</v>
      </c>
      <c r="AT4" s="262">
        <f t="shared" si="43"/>
        <v>0.53479709610707526</v>
      </c>
      <c r="AU4" s="262">
        <f t="shared" si="43"/>
        <v>2.7034101767106442</v>
      </c>
      <c r="AV4" s="262">
        <f t="shared" si="43"/>
        <v>0.31778720103582708</v>
      </c>
      <c r="AW4" s="262">
        <f t="shared" si="43"/>
        <v>3.0893430416702693E-2</v>
      </c>
      <c r="AX4" s="262">
        <f t="shared" si="43"/>
        <v>0.76630253880926646</v>
      </c>
      <c r="AY4" s="262">
        <f t="shared" si="43"/>
        <v>0.71740502362848591</v>
      </c>
      <c r="AZ4" s="262">
        <f t="shared" si="43"/>
        <v>0.11459579643159339</v>
      </c>
      <c r="BA4" s="262">
        <f t="shared" si="43"/>
        <v>0.50641413374214883</v>
      </c>
      <c r="BB4" s="262">
        <f t="shared" si="43"/>
        <v>4.6329419841336011E-2</v>
      </c>
      <c r="BD4" s="2"/>
    </row>
    <row r="5" spans="1:56" x14ac:dyDescent="0.2">
      <c r="A5">
        <v>2</v>
      </c>
      <c r="B5" s="247" t="s">
        <v>765</v>
      </c>
      <c r="C5" s="247"/>
      <c r="D5" s="422">
        <v>249253271</v>
      </c>
      <c r="E5" s="422">
        <v>2821804</v>
      </c>
      <c r="F5" s="422">
        <v>468893</v>
      </c>
      <c r="G5" s="422">
        <v>5740659</v>
      </c>
      <c r="H5" s="422">
        <v>1637589</v>
      </c>
      <c r="I5" s="422">
        <v>35373606</v>
      </c>
      <c r="J5" s="422">
        <v>4332761</v>
      </c>
      <c r="K5" s="422">
        <v>3144942</v>
      </c>
      <c r="L5" s="422">
        <v>747949</v>
      </c>
      <c r="M5" s="422">
        <v>17139844</v>
      </c>
      <c r="N5" s="422">
        <v>7272151</v>
      </c>
      <c r="O5" s="422">
        <v>1250489</v>
      </c>
      <c r="P5" s="422">
        <v>1106370</v>
      </c>
      <c r="Q5" s="422">
        <v>11353553</v>
      </c>
      <c r="R5" s="422">
        <v>4697100</v>
      </c>
      <c r="S5" s="422">
        <v>1950256</v>
      </c>
      <c r="T5" s="422">
        <v>2116961</v>
      </c>
      <c r="U5" s="422">
        <v>2533343</v>
      </c>
      <c r="V5" s="422">
        <v>3317805</v>
      </c>
      <c r="W5" s="422">
        <v>513542</v>
      </c>
      <c r="X5" s="422">
        <v>5034331</v>
      </c>
      <c r="Y5" s="422">
        <v>6021989</v>
      </c>
      <c r="Z5" s="422">
        <v>7369957</v>
      </c>
      <c r="AA5" s="422">
        <v>3886311</v>
      </c>
      <c r="AB5" s="422">
        <v>1464224</v>
      </c>
      <c r="AC5" s="422">
        <v>4218371</v>
      </c>
      <c r="AD5" s="422">
        <v>553014</v>
      </c>
      <c r="AE5" s="422">
        <v>1335686</v>
      </c>
      <c r="AF5" s="422">
        <v>2543797</v>
      </c>
      <c r="AG5" s="422">
        <v>793872</v>
      </c>
      <c r="AH5" s="422">
        <v>8324126</v>
      </c>
      <c r="AI5" s="422">
        <v>1594361</v>
      </c>
      <c r="AJ5" s="422">
        <v>17028105</v>
      </c>
      <c r="AK5" s="422">
        <v>6301756</v>
      </c>
      <c r="AL5" s="422">
        <v>402872</v>
      </c>
      <c r="AM5" s="422">
        <v>8989694</v>
      </c>
      <c r="AN5" s="422">
        <v>2485029</v>
      </c>
      <c r="AO5" s="422">
        <v>3104382</v>
      </c>
      <c r="AP5" s="422">
        <v>9991287</v>
      </c>
      <c r="AQ5" s="422">
        <v>955043</v>
      </c>
      <c r="AR5" s="422">
        <v>3067809</v>
      </c>
      <c r="AS5" s="422">
        <v>461247</v>
      </c>
      <c r="AT5" s="422">
        <v>4213245</v>
      </c>
      <c r="AU5" s="422">
        <v>21298039</v>
      </c>
      <c r="AV5" s="422">
        <v>2503595</v>
      </c>
      <c r="AW5" s="422">
        <v>243385</v>
      </c>
      <c r="AX5" s="422">
        <v>6037094</v>
      </c>
      <c r="AY5" s="422">
        <v>5651869</v>
      </c>
      <c r="AZ5" s="422">
        <v>902810</v>
      </c>
      <c r="BA5" s="422">
        <v>3989638</v>
      </c>
      <c r="BB5" s="422">
        <v>364993</v>
      </c>
    </row>
    <row r="6" spans="1:56" x14ac:dyDescent="0.2">
      <c r="A6">
        <v>3</v>
      </c>
      <c r="B6" s="85" t="s">
        <v>767</v>
      </c>
      <c r="C6" s="85"/>
      <c r="D6" s="270"/>
      <c r="E6" s="423">
        <f>E5/$D5</f>
        <v>1.1321030968536417E-2</v>
      </c>
      <c r="F6" s="423">
        <f>F5/$D5</f>
        <v>1.8811909593756144E-3</v>
      </c>
      <c r="G6" s="423">
        <f t="shared" ref="G6:BB6" si="44">G5/$D5</f>
        <v>2.3031428943614544E-2</v>
      </c>
      <c r="H6" s="423">
        <f t="shared" si="44"/>
        <v>6.5699799783169146E-3</v>
      </c>
      <c r="I6" s="423">
        <f t="shared" si="44"/>
        <v>0.14191832210699454</v>
      </c>
      <c r="J6" s="423">
        <f t="shared" si="44"/>
        <v>1.7382965457652912E-2</v>
      </c>
      <c r="K6" s="423">
        <f t="shared" si="44"/>
        <v>1.2617455279052286E-2</v>
      </c>
      <c r="L6" s="423">
        <f t="shared" si="44"/>
        <v>3.0007590151143893E-3</v>
      </c>
      <c r="M6" s="423">
        <f t="shared" si="44"/>
        <v>6.8764770593522123E-2</v>
      </c>
      <c r="N6" s="423">
        <f t="shared" si="44"/>
        <v>2.9175749513032468E-2</v>
      </c>
      <c r="O6" s="423">
        <f t="shared" si="44"/>
        <v>5.0169411818872375E-3</v>
      </c>
      <c r="P6" s="423">
        <f t="shared" si="44"/>
        <v>4.4387381379640952E-3</v>
      </c>
      <c r="Q6" s="423">
        <f t="shared" si="44"/>
        <v>4.5550266820771228E-2</v>
      </c>
      <c r="R6" s="423">
        <f t="shared" si="44"/>
        <v>1.8844687498604584E-2</v>
      </c>
      <c r="S6" s="423">
        <f t="shared" si="44"/>
        <v>7.8243948100484503E-3</v>
      </c>
      <c r="T6" s="423">
        <f t="shared" si="44"/>
        <v>8.4932125123445227E-3</v>
      </c>
      <c r="U6" s="423">
        <f t="shared" si="44"/>
        <v>1.0163730208379091E-2</v>
      </c>
      <c r="V6" s="423">
        <f t="shared" si="44"/>
        <v>1.3310978775480141E-2</v>
      </c>
      <c r="W6" s="423">
        <f t="shared" si="44"/>
        <v>2.0603220087731565E-3</v>
      </c>
      <c r="X6" s="423">
        <f t="shared" si="44"/>
        <v>2.0197652691988144E-2</v>
      </c>
      <c r="Y6" s="423">
        <f t="shared" si="44"/>
        <v>2.4160120249735861E-2</v>
      </c>
      <c r="Z6" s="423">
        <f t="shared" si="44"/>
        <v>2.9568145567084654E-2</v>
      </c>
      <c r="AA6" s="423">
        <f t="shared" si="44"/>
        <v>1.5591815443015791E-2</v>
      </c>
      <c r="AB6" s="423">
        <f t="shared" si="44"/>
        <v>5.8744424661933527E-3</v>
      </c>
      <c r="AC6" s="423">
        <f t="shared" si="44"/>
        <v>1.6924034669940198E-2</v>
      </c>
      <c r="AD6" s="423">
        <f t="shared" si="44"/>
        <v>2.2186830198108014E-3</v>
      </c>
      <c r="AE6" s="423">
        <f t="shared" si="44"/>
        <v>5.3587501365227825E-3</v>
      </c>
      <c r="AF6" s="423">
        <f t="shared" si="44"/>
        <v>1.0205671483444645E-2</v>
      </c>
      <c r="AG6" s="423">
        <f t="shared" si="44"/>
        <v>3.1850013314368903E-3</v>
      </c>
      <c r="AH6" s="423">
        <f t="shared" si="44"/>
        <v>3.3396255810821437E-2</v>
      </c>
      <c r="AI6" s="423">
        <f t="shared" si="44"/>
        <v>6.396549957412595E-3</v>
      </c>
      <c r="AJ6" s="423">
        <f t="shared" si="44"/>
        <v>6.8316475573955454E-2</v>
      </c>
      <c r="AK6" s="423">
        <f t="shared" si="44"/>
        <v>2.5282540825712976E-2</v>
      </c>
      <c r="AL6" s="423">
        <f t="shared" si="44"/>
        <v>1.616315799522647E-3</v>
      </c>
      <c r="AM6" s="423">
        <f t="shared" si="44"/>
        <v>3.606650361671683E-2</v>
      </c>
      <c r="AN6" s="423">
        <f t="shared" si="44"/>
        <v>9.969895239609514E-3</v>
      </c>
      <c r="AO6" s="423">
        <f t="shared" si="44"/>
        <v>1.2454729230012793E-2</v>
      </c>
      <c r="AP6" s="423">
        <f t="shared" si="44"/>
        <v>4.0084878163945938E-2</v>
      </c>
      <c r="AQ6" s="423">
        <f t="shared" si="44"/>
        <v>3.8316167172787073E-3</v>
      </c>
      <c r="AR6" s="423">
        <f t="shared" si="44"/>
        <v>1.2307998959018676E-2</v>
      </c>
      <c r="AS6" s="423">
        <f t="shared" si="44"/>
        <v>1.8505153338589486E-3</v>
      </c>
      <c r="AT6" s="423">
        <f t="shared" si="44"/>
        <v>1.6903469242736637E-2</v>
      </c>
      <c r="AU6" s="423">
        <f t="shared" si="44"/>
        <v>8.5447380146918911E-2</v>
      </c>
      <c r="AV6" s="423">
        <f t="shared" si="44"/>
        <v>1.0044381724482966E-2</v>
      </c>
      <c r="AW6" s="423">
        <f t="shared" si="44"/>
        <v>9.764565938233966E-4</v>
      </c>
      <c r="AX6" s="423">
        <f t="shared" si="44"/>
        <v>2.4220721259862625E-2</v>
      </c>
      <c r="AY6" s="423">
        <f t="shared" si="44"/>
        <v>2.2675204932415913E-2</v>
      </c>
      <c r="AZ6" s="423">
        <f t="shared" si="44"/>
        <v>3.6220587853388691E-3</v>
      </c>
      <c r="BA6" s="423">
        <f t="shared" si="44"/>
        <v>1.6006361657737282E-2</v>
      </c>
      <c r="BB6" s="423">
        <f t="shared" si="44"/>
        <v>1.4643458781329294E-3</v>
      </c>
    </row>
    <row r="7" spans="1:56" x14ac:dyDescent="0.2">
      <c r="A7">
        <v>4</v>
      </c>
      <c r="B7" s="390" t="s">
        <v>1009</v>
      </c>
      <c r="C7" s="85"/>
      <c r="D7" s="271">
        <f>24.1513769886276*1.31</f>
        <v>31.638303855102158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row>
    <row r="9" spans="1:56" x14ac:dyDescent="0.2">
      <c r="A9">
        <v>1</v>
      </c>
      <c r="B9" t="s">
        <v>768</v>
      </c>
    </row>
    <row r="10" spans="1:56" x14ac:dyDescent="0.2">
      <c r="A10">
        <v>2</v>
      </c>
      <c r="B10" s="54" t="s">
        <v>367</v>
      </c>
    </row>
    <row r="11" spans="1:56" x14ac:dyDescent="0.2">
      <c r="A11">
        <v>3</v>
      </c>
      <c r="B11" t="s">
        <v>766</v>
      </c>
    </row>
    <row r="12" spans="1:56" x14ac:dyDescent="0.2">
      <c r="A12">
        <v>4</v>
      </c>
      <c r="B12" t="s">
        <v>769</v>
      </c>
      <c r="D12" s="142"/>
    </row>
  </sheetData>
  <phoneticPr fontId="103" type="noConversion"/>
  <hyperlinks>
    <hyperlink ref="B10" r:id="rId1"/>
  </hyperlinks>
  <pageMargins left="0.75" right="0.75" top="1" bottom="1"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8"/>
  <sheetViews>
    <sheetView workbookViewId="0">
      <selection activeCell="C4" sqref="C4"/>
    </sheetView>
  </sheetViews>
  <sheetFormatPr baseColWidth="10" defaultColWidth="14" defaultRowHeight="16" x14ac:dyDescent="0.15"/>
  <cols>
    <col min="1" max="1" width="14" style="111"/>
    <col min="2" max="2" width="64" style="111" customWidth="1"/>
    <col min="3" max="3" width="20.6640625" style="111" customWidth="1"/>
    <col min="4" max="4" width="20.33203125" style="111" bestFit="1" customWidth="1"/>
    <col min="5" max="5" width="18" style="111" customWidth="1"/>
    <col min="6" max="6" width="16.33203125" style="111" bestFit="1" customWidth="1"/>
    <col min="7" max="7" width="18" style="111" bestFit="1" customWidth="1"/>
    <col min="8" max="8" width="16.6640625" style="111" customWidth="1"/>
    <col min="9" max="10" width="16.33203125" style="111" bestFit="1" customWidth="1"/>
    <col min="11" max="11" width="15.1640625" style="111" bestFit="1" customWidth="1"/>
    <col min="12" max="12" width="16.33203125" style="111" customWidth="1"/>
    <col min="13" max="13" width="16.6640625" style="111" customWidth="1"/>
    <col min="14" max="14" width="15.1640625" style="111" bestFit="1" customWidth="1"/>
    <col min="15" max="15" width="16.33203125" style="111" bestFit="1" customWidth="1"/>
    <col min="16" max="17" width="18" style="111" bestFit="1" customWidth="1"/>
    <col min="18" max="20" width="16.33203125" style="111" bestFit="1" customWidth="1"/>
    <col min="21" max="22" width="18" style="111" bestFit="1" customWidth="1"/>
    <col min="23" max="24" width="16.33203125" style="111" bestFit="1" customWidth="1"/>
    <col min="25" max="27" width="18" style="111" bestFit="1" customWidth="1"/>
    <col min="28" max="30" width="16.33203125" style="111" bestFit="1" customWidth="1"/>
    <col min="31" max="32" width="15.1640625" style="111" bestFit="1" customWidth="1"/>
    <col min="33" max="35" width="16.33203125" style="111" bestFit="1" customWidth="1"/>
    <col min="36" max="36" width="18" style="111" bestFit="1" customWidth="1"/>
    <col min="37" max="41" width="16.33203125" style="111" bestFit="1" customWidth="1"/>
    <col min="42" max="42" width="15.1640625" style="111" bestFit="1" customWidth="1"/>
    <col min="43" max="43" width="18" style="111" bestFit="1" customWidth="1"/>
    <col min="44" max="45" width="16.33203125" style="111" bestFit="1" customWidth="1"/>
    <col min="46" max="46" width="18" style="111" bestFit="1" customWidth="1"/>
    <col min="47" max="47" width="16.33203125" style="111" bestFit="1" customWidth="1"/>
    <col min="48" max="48" width="15.1640625" style="111" bestFit="1" customWidth="1"/>
    <col min="49" max="50" width="16.33203125" style="111" bestFit="1" customWidth="1"/>
    <col min="51" max="51" width="15.1640625" style="111" bestFit="1" customWidth="1"/>
    <col min="52" max="52" width="18" style="111" bestFit="1" customWidth="1"/>
    <col min="53" max="53" width="16.33203125" style="111" bestFit="1" customWidth="1"/>
    <col min="54" max="54" width="14" style="119"/>
    <col min="55" max="55" width="14" style="111"/>
    <col min="56" max="56" width="91.1640625" style="111" customWidth="1"/>
    <col min="57" max="16384" width="14" style="111"/>
  </cols>
  <sheetData>
    <row r="1" spans="1:56" x14ac:dyDescent="0.2">
      <c r="B1" s="150">
        <v>2011</v>
      </c>
      <c r="C1" s="150"/>
      <c r="D1" s="76">
        <v>1</v>
      </c>
      <c r="E1" s="76">
        <f t="shared" ref="E1:K1" si="0">D1+1</f>
        <v>2</v>
      </c>
      <c r="F1" s="76">
        <f t="shared" si="0"/>
        <v>3</v>
      </c>
      <c r="G1" s="76">
        <f t="shared" si="0"/>
        <v>4</v>
      </c>
      <c r="H1" s="76">
        <f t="shared" si="0"/>
        <v>5</v>
      </c>
      <c r="I1" s="76">
        <f t="shared" si="0"/>
        <v>6</v>
      </c>
      <c r="J1" s="76">
        <f t="shared" si="0"/>
        <v>7</v>
      </c>
      <c r="K1" s="76">
        <f t="shared" si="0"/>
        <v>8</v>
      </c>
      <c r="L1" s="76">
        <f t="shared" ref="L1" si="1">K1+1</f>
        <v>9</v>
      </c>
      <c r="M1" s="76">
        <f t="shared" ref="M1" si="2">L1+1</f>
        <v>10</v>
      </c>
      <c r="N1" s="76">
        <f t="shared" ref="N1" si="3">M1+1</f>
        <v>11</v>
      </c>
      <c r="O1" s="76">
        <f t="shared" ref="O1" si="4">N1+1</f>
        <v>12</v>
      </c>
      <c r="P1" s="76">
        <f t="shared" ref="P1" si="5">O1+1</f>
        <v>13</v>
      </c>
      <c r="Q1" s="76">
        <f t="shared" ref="Q1" si="6">P1+1</f>
        <v>14</v>
      </c>
      <c r="R1" s="76">
        <f t="shared" ref="R1" si="7">Q1+1</f>
        <v>15</v>
      </c>
      <c r="S1" s="76">
        <f t="shared" ref="S1" si="8">R1+1</f>
        <v>16</v>
      </c>
      <c r="T1" s="76">
        <f t="shared" ref="T1" si="9">S1+1</f>
        <v>17</v>
      </c>
      <c r="U1" s="76">
        <f t="shared" ref="U1" si="10">T1+1</f>
        <v>18</v>
      </c>
      <c r="V1" s="76">
        <f t="shared" ref="V1" si="11">U1+1</f>
        <v>19</v>
      </c>
      <c r="W1" s="76">
        <f t="shared" ref="W1" si="12">V1+1</f>
        <v>20</v>
      </c>
      <c r="X1" s="76">
        <f t="shared" ref="X1" si="13">W1+1</f>
        <v>21</v>
      </c>
      <c r="Y1" s="76">
        <f t="shared" ref="Y1" si="14">X1+1</f>
        <v>22</v>
      </c>
      <c r="Z1" s="76">
        <f t="shared" ref="Z1" si="15">Y1+1</f>
        <v>23</v>
      </c>
      <c r="AA1" s="76">
        <f t="shared" ref="AA1" si="16">Z1+1</f>
        <v>24</v>
      </c>
      <c r="AB1" s="76">
        <f t="shared" ref="AB1" si="17">AA1+1</f>
        <v>25</v>
      </c>
      <c r="AC1" s="76">
        <f t="shared" ref="AC1" si="18">AB1+1</f>
        <v>26</v>
      </c>
      <c r="AD1" s="76">
        <f t="shared" ref="AD1" si="19">AC1+1</f>
        <v>27</v>
      </c>
      <c r="AE1" s="76">
        <f t="shared" ref="AE1" si="20">AD1+1</f>
        <v>28</v>
      </c>
      <c r="AF1" s="76">
        <f t="shared" ref="AF1" si="21">AE1+1</f>
        <v>29</v>
      </c>
      <c r="AG1" s="76">
        <f t="shared" ref="AG1" si="22">AF1+1</f>
        <v>30</v>
      </c>
      <c r="AH1" s="76">
        <f t="shared" ref="AH1" si="23">AG1+1</f>
        <v>31</v>
      </c>
      <c r="AI1" s="76">
        <f t="shared" ref="AI1" si="24">AH1+1</f>
        <v>32</v>
      </c>
      <c r="AJ1" s="76">
        <f t="shared" ref="AJ1" si="25">AI1+1</f>
        <v>33</v>
      </c>
      <c r="AK1" s="76">
        <f t="shared" ref="AK1" si="26">AJ1+1</f>
        <v>34</v>
      </c>
      <c r="AL1" s="76">
        <f t="shared" ref="AL1" si="27">AK1+1</f>
        <v>35</v>
      </c>
      <c r="AM1" s="76">
        <f t="shared" ref="AM1" si="28">AL1+1</f>
        <v>36</v>
      </c>
      <c r="AN1" s="76">
        <f t="shared" ref="AN1" si="29">AM1+1</f>
        <v>37</v>
      </c>
      <c r="AO1" s="76">
        <f t="shared" ref="AO1" si="30">AN1+1</f>
        <v>38</v>
      </c>
      <c r="AP1" s="76">
        <f t="shared" ref="AP1" si="31">AO1+1</f>
        <v>39</v>
      </c>
      <c r="AQ1" s="76">
        <f t="shared" ref="AQ1" si="32">AP1+1</f>
        <v>40</v>
      </c>
      <c r="AR1" s="76">
        <f t="shared" ref="AR1" si="33">AQ1+1</f>
        <v>41</v>
      </c>
      <c r="AS1" s="76">
        <f t="shared" ref="AS1" si="34">AR1+1</f>
        <v>42</v>
      </c>
      <c r="AT1" s="76">
        <f t="shared" ref="AT1" si="35">AS1+1</f>
        <v>43</v>
      </c>
      <c r="AU1" s="76">
        <f t="shared" ref="AU1" si="36">AT1+1</f>
        <v>44</v>
      </c>
      <c r="AV1" s="76">
        <f t="shared" ref="AV1" si="37">AU1+1</f>
        <v>45</v>
      </c>
      <c r="AW1" s="76">
        <f t="shared" ref="AW1" si="38">AV1+1</f>
        <v>46</v>
      </c>
      <c r="AX1" s="76">
        <f t="shared" ref="AX1" si="39">AW1+1</f>
        <v>47</v>
      </c>
      <c r="AY1" s="76">
        <f t="shared" ref="AY1" si="40">AX1+1</f>
        <v>48</v>
      </c>
      <c r="AZ1" s="76">
        <f t="shared" ref="AZ1" si="41">AY1+1</f>
        <v>49</v>
      </c>
      <c r="BA1" s="76">
        <f t="shared" ref="BA1" si="42">AZ1+1</f>
        <v>50</v>
      </c>
      <c r="BC1" s="120"/>
      <c r="BD1" s="121"/>
    </row>
    <row r="2" spans="1:56" x14ac:dyDescent="0.2">
      <c r="B2" s="118"/>
      <c r="C2" s="152" t="s">
        <v>95</v>
      </c>
      <c r="D2" s="118" t="s">
        <v>274</v>
      </c>
      <c r="E2" s="118" t="s">
        <v>275</v>
      </c>
      <c r="F2" s="118" t="s">
        <v>276</v>
      </c>
      <c r="G2" s="118" t="s">
        <v>277</v>
      </c>
      <c r="H2" s="118" t="s">
        <v>278</v>
      </c>
      <c r="I2" s="118" t="s">
        <v>279</v>
      </c>
      <c r="J2" s="118" t="s">
        <v>280</v>
      </c>
      <c r="K2" s="118" t="s">
        <v>281</v>
      </c>
      <c r="L2" s="118" t="s">
        <v>282</v>
      </c>
      <c r="M2" s="118" t="s">
        <v>283</v>
      </c>
      <c r="N2" s="118" t="s">
        <v>284</v>
      </c>
      <c r="O2" s="118" t="s">
        <v>285</v>
      </c>
      <c r="P2" s="118" t="s">
        <v>286</v>
      </c>
      <c r="Q2" s="118" t="s">
        <v>287</v>
      </c>
      <c r="R2" s="118" t="s">
        <v>288</v>
      </c>
      <c r="S2" s="118" t="s">
        <v>289</v>
      </c>
      <c r="T2" s="118" t="s">
        <v>290</v>
      </c>
      <c r="U2" s="118" t="s">
        <v>291</v>
      </c>
      <c r="V2" s="118" t="s">
        <v>292</v>
      </c>
      <c r="W2" s="118" t="s">
        <v>293</v>
      </c>
      <c r="X2" s="118" t="s">
        <v>294</v>
      </c>
      <c r="Y2" s="118" t="s">
        <v>295</v>
      </c>
      <c r="Z2" s="118" t="s">
        <v>296</v>
      </c>
      <c r="AA2" s="118" t="s">
        <v>297</v>
      </c>
      <c r="AB2" s="118" t="s">
        <v>298</v>
      </c>
      <c r="AC2" s="118" t="s">
        <v>299</v>
      </c>
      <c r="AD2" s="118" t="s">
        <v>300</v>
      </c>
      <c r="AE2" s="118" t="s">
        <v>301</v>
      </c>
      <c r="AF2" s="118" t="s">
        <v>302</v>
      </c>
      <c r="AG2" s="118" t="s">
        <v>303</v>
      </c>
      <c r="AH2" s="118" t="s">
        <v>304</v>
      </c>
      <c r="AI2" s="118" t="s">
        <v>305</v>
      </c>
      <c r="AJ2" s="118" t="s">
        <v>306</v>
      </c>
      <c r="AK2" s="118" t="s">
        <v>307</v>
      </c>
      <c r="AL2" s="118" t="s">
        <v>308</v>
      </c>
      <c r="AM2" s="118" t="s">
        <v>309</v>
      </c>
      <c r="AN2" s="118" t="s">
        <v>310</v>
      </c>
      <c r="AO2" s="118" t="s">
        <v>311</v>
      </c>
      <c r="AP2" s="118" t="s">
        <v>312</v>
      </c>
      <c r="AQ2" s="118" t="s">
        <v>313</v>
      </c>
      <c r="AR2" s="118" t="s">
        <v>314</v>
      </c>
      <c r="AS2" s="118" t="s">
        <v>315</v>
      </c>
      <c r="AT2" s="118" t="s">
        <v>316</v>
      </c>
      <c r="AU2" s="118" t="s">
        <v>317</v>
      </c>
      <c r="AV2" s="118" t="s">
        <v>318</v>
      </c>
      <c r="AW2" s="118" t="s">
        <v>319</v>
      </c>
      <c r="AX2" s="118" t="s">
        <v>320</v>
      </c>
      <c r="AY2" s="118" t="s">
        <v>321</v>
      </c>
      <c r="AZ2" s="118" t="s">
        <v>322</v>
      </c>
      <c r="BA2" s="118" t="s">
        <v>323</v>
      </c>
      <c r="BC2" s="76"/>
      <c r="BD2" s="76"/>
    </row>
    <row r="3" spans="1:56" x14ac:dyDescent="0.2">
      <c r="B3" s="76"/>
      <c r="C3" s="76" t="s">
        <v>96</v>
      </c>
      <c r="D3" s="76" t="s">
        <v>39</v>
      </c>
      <c r="E3" s="76" t="s">
        <v>40</v>
      </c>
      <c r="F3" s="76" t="s">
        <v>41</v>
      </c>
      <c r="G3" s="76" t="s">
        <v>42</v>
      </c>
      <c r="H3" s="76" t="s">
        <v>43</v>
      </c>
      <c r="I3" s="76" t="s">
        <v>44</v>
      </c>
      <c r="J3" s="76" t="s">
        <v>45</v>
      </c>
      <c r="K3" s="76" t="s">
        <v>46</v>
      </c>
      <c r="L3" s="76" t="s">
        <v>47</v>
      </c>
      <c r="M3" s="76" t="s">
        <v>48</v>
      </c>
      <c r="N3" s="76" t="s">
        <v>49</v>
      </c>
      <c r="O3" s="76" t="s">
        <v>50</v>
      </c>
      <c r="P3" s="76" t="s">
        <v>51</v>
      </c>
      <c r="Q3" s="76" t="s">
        <v>52</v>
      </c>
      <c r="R3" s="76" t="s">
        <v>53</v>
      </c>
      <c r="S3" s="76" t="s">
        <v>54</v>
      </c>
      <c r="T3" s="76" t="s">
        <v>55</v>
      </c>
      <c r="U3" s="76" t="s">
        <v>56</v>
      </c>
      <c r="V3" s="76" t="s">
        <v>57</v>
      </c>
      <c r="W3" s="76" t="s">
        <v>58</v>
      </c>
      <c r="X3" s="76" t="s">
        <v>59</v>
      </c>
      <c r="Y3" s="76" t="s">
        <v>60</v>
      </c>
      <c r="Z3" s="76" t="s">
        <v>61</v>
      </c>
      <c r="AA3" s="76" t="s">
        <v>62</v>
      </c>
      <c r="AB3" s="76" t="s">
        <v>63</v>
      </c>
      <c r="AC3" s="76" t="s">
        <v>64</v>
      </c>
      <c r="AD3" s="76" t="s">
        <v>65</v>
      </c>
      <c r="AE3" s="76" t="s">
        <v>66</v>
      </c>
      <c r="AF3" s="76" t="s">
        <v>67</v>
      </c>
      <c r="AG3" s="76" t="s">
        <v>68</v>
      </c>
      <c r="AH3" s="76" t="s">
        <v>69</v>
      </c>
      <c r="AI3" s="76" t="s">
        <v>70</v>
      </c>
      <c r="AJ3" s="76" t="s">
        <v>71</v>
      </c>
      <c r="AK3" s="76" t="s">
        <v>72</v>
      </c>
      <c r="AL3" s="76" t="s">
        <v>73</v>
      </c>
      <c r="AM3" s="76" t="s">
        <v>74</v>
      </c>
      <c r="AN3" s="76" t="s">
        <v>75</v>
      </c>
      <c r="AO3" s="76" t="s">
        <v>76</v>
      </c>
      <c r="AP3" s="76" t="s">
        <v>77</v>
      </c>
      <c r="AQ3" s="76" t="s">
        <v>78</v>
      </c>
      <c r="AR3" s="76" t="s">
        <v>79</v>
      </c>
      <c r="AS3" s="76" t="s">
        <v>80</v>
      </c>
      <c r="AT3" s="76" t="s">
        <v>81</v>
      </c>
      <c r="AU3" s="76" t="s">
        <v>82</v>
      </c>
      <c r="AV3" s="76" t="s">
        <v>83</v>
      </c>
      <c r="AW3" s="76" t="s">
        <v>84</v>
      </c>
      <c r="AX3" s="76" t="s">
        <v>85</v>
      </c>
      <c r="AY3" s="76" t="s">
        <v>86</v>
      </c>
      <c r="AZ3" s="76" t="s">
        <v>87</v>
      </c>
      <c r="BA3" s="76" t="s">
        <v>88</v>
      </c>
      <c r="BC3" s="120"/>
      <c r="BD3" s="121"/>
    </row>
    <row r="4" spans="1:56" x14ac:dyDescent="0.2">
      <c r="A4" s="111">
        <v>1</v>
      </c>
      <c r="B4" s="272" t="s">
        <v>772</v>
      </c>
      <c r="C4" s="273">
        <f>SUM(D4:BA4)</f>
        <v>-3.2445999606273546</v>
      </c>
      <c r="D4" s="274">
        <f>(D14+D8)/1000000000</f>
        <v>2.9048091062163599</v>
      </c>
      <c r="E4" s="274">
        <f>(E14+E8)/1000000000</f>
        <v>-45.361127926545208</v>
      </c>
      <c r="F4" s="274">
        <f>(F14+F8)/1000000000</f>
        <v>0.85659550254022254</v>
      </c>
      <c r="G4" s="274">
        <f t="shared" ref="G4:BA4" si="43">(G15*$C12+G8)/1000000000</f>
        <v>1.7783281449094097</v>
      </c>
      <c r="H4" s="274">
        <f t="shared" si="43"/>
        <v>0.90297097182810648</v>
      </c>
      <c r="I4" s="274">
        <f t="shared" si="43"/>
        <v>0.36111876209310162</v>
      </c>
      <c r="J4" s="274">
        <f t="shared" si="43"/>
        <v>0.12078872864536247</v>
      </c>
      <c r="K4" s="274">
        <f t="shared" si="43"/>
        <v>8.6496374632951553E-2</v>
      </c>
      <c r="L4" s="274">
        <f t="shared" si="43"/>
        <v>3.667069583324118</v>
      </c>
      <c r="M4" s="274">
        <f t="shared" si="43"/>
        <v>1.2304216890623678</v>
      </c>
      <c r="N4" s="274">
        <f t="shared" si="43"/>
        <v>1.0564415517425032E-2</v>
      </c>
      <c r="O4" s="274">
        <f t="shared" si="43"/>
        <v>0.15787027837309212</v>
      </c>
      <c r="P4" s="274">
        <f t="shared" si="43"/>
        <v>1.4844586364087407</v>
      </c>
      <c r="Q4" s="274">
        <f t="shared" si="43"/>
        <v>1.0123870072196184</v>
      </c>
      <c r="R4" s="274">
        <f t="shared" si="43"/>
        <v>0.72265526013760129</v>
      </c>
      <c r="S4" s="274">
        <f t="shared" si="43"/>
        <v>0.15118328100101611</v>
      </c>
      <c r="T4" s="274">
        <f t="shared" si="43"/>
        <v>0.28282962709686915</v>
      </c>
      <c r="U4" s="274">
        <f t="shared" si="43"/>
        <v>2.9181484544334393</v>
      </c>
      <c r="V4" s="274">
        <f t="shared" si="43"/>
        <v>1.1624212516764731</v>
      </c>
      <c r="W4" s="274">
        <f t="shared" si="43"/>
        <v>0.29744855174468166</v>
      </c>
      <c r="X4" s="274">
        <f t="shared" si="43"/>
        <v>0.14736387179612326</v>
      </c>
      <c r="Y4" s="274">
        <f t="shared" si="43"/>
        <v>2.019425585491915</v>
      </c>
      <c r="Z4" s="274">
        <f t="shared" si="43"/>
        <v>2.7138526661062241</v>
      </c>
      <c r="AA4" s="274">
        <f t="shared" si="43"/>
        <v>1.7805120948348636</v>
      </c>
      <c r="AB4" s="274">
        <f t="shared" si="43"/>
        <v>0.87528010215235719</v>
      </c>
      <c r="AC4" s="274">
        <f t="shared" si="43"/>
        <v>0.20605376461438205</v>
      </c>
      <c r="AD4" s="274">
        <f t="shared" si="43"/>
        <v>0.52508711394119667</v>
      </c>
      <c r="AE4" s="274">
        <f t="shared" si="43"/>
        <v>8.7638931466033271E-2</v>
      </c>
      <c r="AF4" s="274">
        <f t="shared" si="43"/>
        <v>3.9213951273389891E-2</v>
      </c>
      <c r="AG4" s="274">
        <f t="shared" si="43"/>
        <v>0.27046007677768191</v>
      </c>
      <c r="AH4" s="274">
        <f t="shared" si="43"/>
        <v>0.13020632392352166</v>
      </c>
      <c r="AI4" s="274">
        <f t="shared" si="43"/>
        <v>0.4594987485552906</v>
      </c>
      <c r="AJ4" s="274">
        <f t="shared" si="43"/>
        <v>2.0009094776121765</v>
      </c>
      <c r="AK4" s="274">
        <f t="shared" si="43"/>
        <v>0.88731622980706404</v>
      </c>
      <c r="AL4" s="274">
        <f t="shared" si="43"/>
        <v>0.90363297407174814</v>
      </c>
      <c r="AM4" s="274">
        <f t="shared" si="43"/>
        <v>0.51383902109358381</v>
      </c>
      <c r="AN4" s="274">
        <f t="shared" si="43"/>
        <v>0.40758552644520252</v>
      </c>
      <c r="AO4" s="274">
        <f t="shared" si="43"/>
        <v>0.20280534467198746</v>
      </c>
      <c r="AP4" s="274">
        <f t="shared" si="43"/>
        <v>1.846590715528456E-2</v>
      </c>
      <c r="AQ4" s="274">
        <f t="shared" si="43"/>
        <v>1.1561229131930373</v>
      </c>
      <c r="AR4" s="274">
        <f t="shared" si="43"/>
        <v>0.49225891919191522</v>
      </c>
      <c r="AS4" s="274">
        <f t="shared" si="43"/>
        <v>0.34972934110655862</v>
      </c>
      <c r="AT4" s="274">
        <f t="shared" si="43"/>
        <v>2.8884180276244966</v>
      </c>
      <c r="AU4" s="274">
        <f t="shared" si="43"/>
        <v>0.14382023359558435</v>
      </c>
      <c r="AV4" s="274">
        <f t="shared" si="43"/>
        <v>6.1031991453942031E-2</v>
      </c>
      <c r="AW4" s="274">
        <f t="shared" si="43"/>
        <v>0.33272431670247254</v>
      </c>
      <c r="AX4" s="274">
        <f t="shared" si="43"/>
        <v>0.24308514531606212</v>
      </c>
      <c r="AY4" s="274">
        <f t="shared" si="43"/>
        <v>2.4132387879379168E-2</v>
      </c>
      <c r="AZ4" s="274">
        <f t="shared" si="43"/>
        <v>1.7665470138673989</v>
      </c>
      <c r="BA4" s="274">
        <f t="shared" si="43"/>
        <v>0.36094433733603037</v>
      </c>
      <c r="BC4" s="120"/>
      <c r="BD4" s="121"/>
    </row>
    <row r="5" spans="1:56" x14ac:dyDescent="0.2">
      <c r="A5" s="111">
        <v>2</v>
      </c>
      <c r="B5" s="276" t="s">
        <v>810</v>
      </c>
      <c r="C5" s="275">
        <f>SUM(D5:BA5)</f>
        <v>391388.43799999997</v>
      </c>
      <c r="D5" s="279">
        <v>7567.6</v>
      </c>
      <c r="E5" s="279">
        <v>170200</v>
      </c>
      <c r="F5" s="279">
        <v>931</v>
      </c>
      <c r="G5" s="279">
        <v>9848.6</v>
      </c>
      <c r="H5" s="279">
        <v>5000</v>
      </c>
      <c r="I5" s="279">
        <v>2000</v>
      </c>
      <c r="J5" s="279">
        <v>670</v>
      </c>
      <c r="K5" s="279">
        <v>479.78500000000003</v>
      </c>
      <c r="L5" s="279">
        <v>20325.012999999999</v>
      </c>
      <c r="M5" s="279">
        <v>6843.2</v>
      </c>
      <c r="N5" s="279">
        <v>58.8</v>
      </c>
      <c r="O5" s="279">
        <v>877</v>
      </c>
      <c r="P5" s="279">
        <v>8212</v>
      </c>
      <c r="Q5" s="279">
        <v>5600</v>
      </c>
      <c r="R5" s="279">
        <v>4000</v>
      </c>
      <c r="S5" s="279">
        <v>841</v>
      </c>
      <c r="T5" s="279">
        <v>1566</v>
      </c>
      <c r="U5" s="279">
        <v>16194.5</v>
      </c>
      <c r="V5" s="279">
        <v>6460</v>
      </c>
      <c r="W5" s="279">
        <v>1650</v>
      </c>
      <c r="X5" s="279">
        <v>818</v>
      </c>
      <c r="Y5" s="279">
        <v>11200</v>
      </c>
      <c r="Z5" s="279">
        <v>15070</v>
      </c>
      <c r="AA5" s="279">
        <v>9872</v>
      </c>
      <c r="AB5" s="279">
        <v>4844</v>
      </c>
      <c r="AC5" s="279">
        <v>1147</v>
      </c>
      <c r="AD5" s="279">
        <v>2910.5</v>
      </c>
      <c r="AE5" s="279">
        <v>487.35</v>
      </c>
      <c r="AF5" s="279">
        <v>220</v>
      </c>
      <c r="AG5" s="279">
        <v>1500</v>
      </c>
      <c r="AH5" s="279">
        <v>720</v>
      </c>
      <c r="AI5" s="279">
        <v>2562</v>
      </c>
      <c r="AJ5" s="279">
        <v>11089.5</v>
      </c>
      <c r="AK5" s="279">
        <v>4927.5</v>
      </c>
      <c r="AL5" s="279">
        <v>5000</v>
      </c>
      <c r="AM5" s="279">
        <v>2842.6</v>
      </c>
      <c r="AN5" s="279">
        <v>2262</v>
      </c>
      <c r="AO5" s="279">
        <v>1127</v>
      </c>
      <c r="AP5" s="279">
        <v>102.69</v>
      </c>
      <c r="AQ5" s="279">
        <v>6414</v>
      </c>
      <c r="AR5" s="279">
        <v>2735.1</v>
      </c>
      <c r="AS5" s="279">
        <v>1937</v>
      </c>
      <c r="AT5" s="279">
        <v>15999.7</v>
      </c>
      <c r="AU5" s="279">
        <v>802</v>
      </c>
      <c r="AV5" s="279">
        <v>341</v>
      </c>
      <c r="AW5" s="279">
        <v>1849</v>
      </c>
      <c r="AX5" s="279">
        <v>1350</v>
      </c>
      <c r="AY5" s="279">
        <v>134</v>
      </c>
      <c r="AZ5" s="279">
        <v>9800</v>
      </c>
      <c r="BA5" s="279">
        <v>2000</v>
      </c>
      <c r="BC5" s="120"/>
      <c r="BD5" s="121"/>
    </row>
    <row r="6" spans="1:56" x14ac:dyDescent="0.2">
      <c r="A6" s="111">
        <v>3</v>
      </c>
      <c r="B6" s="151" t="s">
        <v>369</v>
      </c>
      <c r="C6" s="76"/>
      <c r="D6" s="278">
        <f>(D5/391390.361)*136000</f>
        <v>2629.5834096946505</v>
      </c>
      <c r="E6" s="278">
        <f t="shared" ref="E6:BA6" si="44">(E5/391390.361)*136000</f>
        <v>59140.955696658049</v>
      </c>
      <c r="F6" s="278">
        <f t="shared" si="44"/>
        <v>323.50311253577348</v>
      </c>
      <c r="G6" s="278">
        <f t="shared" si="44"/>
        <v>3422.1834093660782</v>
      </c>
      <c r="H6" s="278">
        <f t="shared" si="44"/>
        <v>1737.3958782802013</v>
      </c>
      <c r="I6" s="278">
        <f t="shared" si="44"/>
        <v>694.95835131208048</v>
      </c>
      <c r="J6" s="278">
        <f t="shared" si="44"/>
        <v>232.81104768954697</v>
      </c>
      <c r="K6" s="278">
        <f t="shared" si="44"/>
        <v>166.7152962921333</v>
      </c>
      <c r="L6" s="278">
        <f t="shared" si="44"/>
        <v>7062.5187624383016</v>
      </c>
      <c r="M6" s="278">
        <f t="shared" si="44"/>
        <v>2377.8694948494144</v>
      </c>
      <c r="N6" s="278">
        <f t="shared" si="44"/>
        <v>20.431775528575166</v>
      </c>
      <c r="O6" s="278">
        <f t="shared" si="44"/>
        <v>304.7392370503473</v>
      </c>
      <c r="P6" s="278">
        <f t="shared" si="44"/>
        <v>2853.4989904874028</v>
      </c>
      <c r="Q6" s="278">
        <f t="shared" si="44"/>
        <v>1945.8833836738254</v>
      </c>
      <c r="R6" s="278">
        <f t="shared" si="44"/>
        <v>1389.916702624161</v>
      </c>
      <c r="S6" s="278">
        <f t="shared" si="44"/>
        <v>292.22998672672986</v>
      </c>
      <c r="T6" s="278">
        <f t="shared" si="44"/>
        <v>544.15238907735909</v>
      </c>
      <c r="U6" s="278">
        <f t="shared" si="44"/>
        <v>5627.2515101617437</v>
      </c>
      <c r="V6" s="278">
        <f t="shared" si="44"/>
        <v>2244.71547473802</v>
      </c>
      <c r="W6" s="278">
        <f t="shared" si="44"/>
        <v>573.34063983246642</v>
      </c>
      <c r="X6" s="278">
        <f t="shared" si="44"/>
        <v>284.23796568664091</v>
      </c>
      <c r="Y6" s="278">
        <f t="shared" si="44"/>
        <v>3891.7667673476508</v>
      </c>
      <c r="Z6" s="278">
        <f t="shared" si="44"/>
        <v>5236.5111771365264</v>
      </c>
      <c r="AA6" s="278">
        <f t="shared" si="44"/>
        <v>3430.3144220764293</v>
      </c>
      <c r="AB6" s="278">
        <f t="shared" si="44"/>
        <v>1683.1891268778591</v>
      </c>
      <c r="AC6" s="278">
        <f t="shared" si="44"/>
        <v>398.55861447747816</v>
      </c>
      <c r="AD6" s="278">
        <f t="shared" si="44"/>
        <v>1011.3381407469052</v>
      </c>
      <c r="AE6" s="278">
        <f t="shared" si="44"/>
        <v>169.34397625597123</v>
      </c>
      <c r="AF6" s="278">
        <f t="shared" si="44"/>
        <v>76.445418644328853</v>
      </c>
      <c r="AG6" s="278">
        <f t="shared" si="44"/>
        <v>521.21876348406033</v>
      </c>
      <c r="AH6" s="278">
        <f t="shared" si="44"/>
        <v>250.18500647234899</v>
      </c>
      <c r="AI6" s="278">
        <f t="shared" si="44"/>
        <v>890.24164803077508</v>
      </c>
      <c r="AJ6" s="278">
        <f t="shared" si="44"/>
        <v>3853.3703184376582</v>
      </c>
      <c r="AK6" s="278">
        <f t="shared" si="44"/>
        <v>1712.2036380451384</v>
      </c>
      <c r="AL6" s="278">
        <f t="shared" si="44"/>
        <v>1737.3958782802013</v>
      </c>
      <c r="AM6" s="278">
        <f t="shared" si="44"/>
        <v>987.74430471986</v>
      </c>
      <c r="AN6" s="278">
        <f t="shared" si="44"/>
        <v>785.99789533396313</v>
      </c>
      <c r="AO6" s="278">
        <f t="shared" si="44"/>
        <v>391.60903096435737</v>
      </c>
      <c r="AP6" s="278">
        <f t="shared" si="44"/>
        <v>35.682636548118772</v>
      </c>
      <c r="AQ6" s="278">
        <f t="shared" si="44"/>
        <v>2228.7314326578421</v>
      </c>
      <c r="AR6" s="278">
        <f t="shared" si="44"/>
        <v>950.39029333683573</v>
      </c>
      <c r="AS6" s="278">
        <f t="shared" si="44"/>
        <v>673.06716324574995</v>
      </c>
      <c r="AT6" s="278">
        <f t="shared" si="44"/>
        <v>5559.5625667439481</v>
      </c>
      <c r="AU6" s="278">
        <f t="shared" si="44"/>
        <v>278.67829887614431</v>
      </c>
      <c r="AV6" s="278">
        <f t="shared" si="44"/>
        <v>118.49039889870973</v>
      </c>
      <c r="AW6" s="278">
        <f t="shared" si="44"/>
        <v>642.48899578801843</v>
      </c>
      <c r="AX6" s="278">
        <f t="shared" si="44"/>
        <v>469.09688713565436</v>
      </c>
      <c r="AY6" s="278">
        <f t="shared" si="44"/>
        <v>46.562209537909396</v>
      </c>
      <c r="AZ6" s="278">
        <f t="shared" si="44"/>
        <v>3405.2959214291946</v>
      </c>
      <c r="BA6" s="278">
        <f t="shared" si="44"/>
        <v>694.95835131208048</v>
      </c>
      <c r="BC6" s="120"/>
      <c r="BD6" s="121"/>
    </row>
    <row r="7" spans="1:56" x14ac:dyDescent="0.2">
      <c r="A7" s="111">
        <v>4</v>
      </c>
      <c r="B7" s="391" t="s">
        <v>971</v>
      </c>
      <c r="C7" s="277">
        <v>517.28</v>
      </c>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C7" s="120"/>
      <c r="BD7" s="121"/>
    </row>
    <row r="8" spans="1:56" x14ac:dyDescent="0.2">
      <c r="A8" s="111">
        <v>5</v>
      </c>
      <c r="B8" s="153" t="s">
        <v>974</v>
      </c>
      <c r="C8" s="76"/>
      <c r="D8" s="278">
        <f>D6*$C7*1000</f>
        <v>1360230906.1668487</v>
      </c>
      <c r="E8" s="278">
        <f>E6*$C7*1000</f>
        <v>30592433562.767273</v>
      </c>
      <c r="F8" s="278">
        <f t="shared" ref="F8:BA8" si="45">F6*$C7*1000</f>
        <v>167341690.0525049</v>
      </c>
      <c r="G8" s="278">
        <f t="shared" si="45"/>
        <v>1770227033.9968851</v>
      </c>
      <c r="H8" s="278">
        <f t="shared" si="45"/>
        <v>898720139.9167825</v>
      </c>
      <c r="I8" s="278">
        <f t="shared" si="45"/>
        <v>359488055.96671301</v>
      </c>
      <c r="J8" s="278">
        <f t="shared" si="45"/>
        <v>120428498.74884886</v>
      </c>
      <c r="K8" s="278">
        <f t="shared" si="45"/>
        <v>86238488.465994716</v>
      </c>
      <c r="L8" s="278">
        <f t="shared" si="45"/>
        <v>3653299705.4340844</v>
      </c>
      <c r="M8" s="278">
        <f t="shared" si="45"/>
        <v>1230024332.2957051</v>
      </c>
      <c r="N8" s="278">
        <f t="shared" si="45"/>
        <v>10568948.845421361</v>
      </c>
      <c r="O8" s="278">
        <f t="shared" si="45"/>
        <v>157635512.54140365</v>
      </c>
      <c r="P8" s="278">
        <f t="shared" si="45"/>
        <v>1476057957.7993236</v>
      </c>
      <c r="Q8" s="278">
        <f t="shared" si="45"/>
        <v>1006566556.7067964</v>
      </c>
      <c r="R8" s="278">
        <f t="shared" si="45"/>
        <v>718976111.93342602</v>
      </c>
      <c r="S8" s="278">
        <f t="shared" si="45"/>
        <v>151164727.53400284</v>
      </c>
      <c r="T8" s="278">
        <f t="shared" si="45"/>
        <v>281479147.82193631</v>
      </c>
      <c r="U8" s="278">
        <f t="shared" si="45"/>
        <v>2910864661.1764669</v>
      </c>
      <c r="V8" s="278">
        <f t="shared" si="45"/>
        <v>1161146420.7724829</v>
      </c>
      <c r="W8" s="278">
        <f t="shared" si="45"/>
        <v>296577646.17253822</v>
      </c>
      <c r="X8" s="278">
        <f t="shared" si="45"/>
        <v>147030614.8903856</v>
      </c>
      <c r="Y8" s="278">
        <f t="shared" si="45"/>
        <v>2013133113.4135928</v>
      </c>
      <c r="Z8" s="278">
        <f t="shared" si="45"/>
        <v>2708742501.7091823</v>
      </c>
      <c r="AA8" s="278">
        <f t="shared" si="45"/>
        <v>1774433044.2516952</v>
      </c>
      <c r="AB8" s="278">
        <f t="shared" si="45"/>
        <v>870680071.55137897</v>
      </c>
      <c r="AC8" s="278">
        <f t="shared" si="45"/>
        <v>206166400.09690991</v>
      </c>
      <c r="AD8" s="278">
        <f t="shared" si="45"/>
        <v>523144993.44555908</v>
      </c>
      <c r="AE8" s="278">
        <f t="shared" si="45"/>
        <v>87598252.037688792</v>
      </c>
      <c r="AF8" s="278">
        <f t="shared" si="45"/>
        <v>39543686.156338431</v>
      </c>
      <c r="AG8" s="278">
        <f t="shared" si="45"/>
        <v>269616041.97503471</v>
      </c>
      <c r="AH8" s="278">
        <f t="shared" si="45"/>
        <v>129415700.14801668</v>
      </c>
      <c r="AI8" s="278">
        <f t="shared" si="45"/>
        <v>460504199.69335932</v>
      </c>
      <c r="AJ8" s="278">
        <f t="shared" si="45"/>
        <v>1993271398.3214319</v>
      </c>
      <c r="AK8" s="278">
        <f t="shared" si="45"/>
        <v>885688697.88798916</v>
      </c>
      <c r="AL8" s="278">
        <f t="shared" si="45"/>
        <v>898720139.9167825</v>
      </c>
      <c r="AM8" s="278">
        <f t="shared" si="45"/>
        <v>510940373.94548917</v>
      </c>
      <c r="AN8" s="278">
        <f t="shared" si="45"/>
        <v>406580991.29835242</v>
      </c>
      <c r="AO8" s="278">
        <f t="shared" si="45"/>
        <v>202571519.53724277</v>
      </c>
      <c r="AP8" s="278">
        <f t="shared" si="45"/>
        <v>18457914.23361088</v>
      </c>
      <c r="AQ8" s="278">
        <f t="shared" si="45"/>
        <v>1152878195.4852486</v>
      </c>
      <c r="AR8" s="278">
        <f t="shared" si="45"/>
        <v>491617890.93727833</v>
      </c>
      <c r="AS8" s="278">
        <f t="shared" si="45"/>
        <v>348164182.20376152</v>
      </c>
      <c r="AT8" s="278">
        <f t="shared" si="45"/>
        <v>2875850524.5253096</v>
      </c>
      <c r="AU8" s="278">
        <f t="shared" si="45"/>
        <v>144154710.4426519</v>
      </c>
      <c r="AV8" s="278">
        <f t="shared" si="45"/>
        <v>61292713.542324565</v>
      </c>
      <c r="AW8" s="278">
        <f t="shared" si="45"/>
        <v>332346707.74122614</v>
      </c>
      <c r="AX8" s="278">
        <f t="shared" si="45"/>
        <v>242654437.77753127</v>
      </c>
      <c r="AY8" s="278">
        <f t="shared" si="45"/>
        <v>24085699.74976977</v>
      </c>
      <c r="AZ8" s="278">
        <f t="shared" si="45"/>
        <v>1761491474.2368937</v>
      </c>
      <c r="BA8" s="278">
        <f t="shared" si="45"/>
        <v>359488055.96671301</v>
      </c>
      <c r="BC8" s="120"/>
      <c r="BD8" s="121"/>
    </row>
    <row r="9" spans="1:56" x14ac:dyDescent="0.2">
      <c r="A9" s="111">
        <v>6</v>
      </c>
      <c r="B9" s="276" t="s">
        <v>976</v>
      </c>
      <c r="C9" s="275">
        <f>SUM(D9:BA9)</f>
        <v>286026.39999999997</v>
      </c>
      <c r="D9" s="279">
        <v>3644.5</v>
      </c>
      <c r="E9" s="279">
        <v>174683.9</v>
      </c>
      <c r="F9" s="279">
        <v>30.2</v>
      </c>
      <c r="G9" s="279">
        <v>3063.5</v>
      </c>
      <c r="H9" s="279">
        <v>1439.7</v>
      </c>
      <c r="I9" s="279">
        <v>634.20000000000005</v>
      </c>
      <c r="J9" s="279">
        <v>368.3</v>
      </c>
      <c r="K9" s="279">
        <v>263.8</v>
      </c>
      <c r="L9" s="279">
        <v>8792.2000000000007</v>
      </c>
      <c r="M9" s="279">
        <v>6510.7</v>
      </c>
      <c r="N9" s="279">
        <v>62.6</v>
      </c>
      <c r="O9" s="279">
        <v>680.4</v>
      </c>
      <c r="P9" s="279">
        <v>1175.9000000000001</v>
      </c>
      <c r="Q9" s="279">
        <v>725</v>
      </c>
      <c r="R9" s="279">
        <v>918.5</v>
      </c>
      <c r="S9" s="279">
        <v>825.5</v>
      </c>
      <c r="T9" s="279">
        <v>434.9</v>
      </c>
      <c r="U9" s="279">
        <v>10094.299999999999</v>
      </c>
      <c r="V9" s="279">
        <v>5392.5</v>
      </c>
      <c r="W9" s="279">
        <v>920.6</v>
      </c>
      <c r="X9" s="279">
        <v>538.9</v>
      </c>
      <c r="Y9" s="279">
        <v>5929.9</v>
      </c>
      <c r="Z9" s="279">
        <v>10790.4</v>
      </c>
      <c r="AA9" s="279">
        <v>4780.6000000000004</v>
      </c>
      <c r="AB9" s="279">
        <v>991.2</v>
      </c>
      <c r="AC9" s="279">
        <v>1241.4000000000001</v>
      </c>
      <c r="AD9" s="279">
        <v>1283.9000000000001</v>
      </c>
      <c r="AE9" s="279">
        <v>453.3</v>
      </c>
      <c r="AF9" s="279">
        <v>496.2</v>
      </c>
      <c r="AG9" s="279">
        <v>793.1</v>
      </c>
      <c r="AH9" s="279">
        <v>57.8</v>
      </c>
      <c r="AI9" s="279">
        <v>3404.3</v>
      </c>
      <c r="AJ9" s="279">
        <v>4692.3</v>
      </c>
      <c r="AK9" s="279">
        <v>3564.5</v>
      </c>
      <c r="AL9" s="279">
        <v>885.2</v>
      </c>
      <c r="AM9" s="279">
        <v>414.8</v>
      </c>
      <c r="AN9" s="279">
        <v>1420.7</v>
      </c>
      <c r="AO9" s="279">
        <v>931.2</v>
      </c>
      <c r="AP9" s="279">
        <v>96</v>
      </c>
      <c r="AQ9" s="279">
        <v>3696.5</v>
      </c>
      <c r="AR9" s="279">
        <v>2198.3000000000002</v>
      </c>
      <c r="AS9" s="279">
        <v>626.1</v>
      </c>
      <c r="AT9" s="279">
        <v>5473.8</v>
      </c>
      <c r="AU9" s="279">
        <v>1082.2</v>
      </c>
      <c r="AV9" s="279">
        <v>559.4</v>
      </c>
      <c r="AW9" s="279">
        <v>1532.8</v>
      </c>
      <c r="AX9" s="279">
        <v>989.3</v>
      </c>
      <c r="AY9" s="279">
        <v>94.9</v>
      </c>
      <c r="AZ9" s="279">
        <v>5565.9</v>
      </c>
      <c r="BA9" s="279">
        <v>780.3</v>
      </c>
      <c r="BC9" s="120"/>
      <c r="BD9" s="121"/>
    </row>
    <row r="10" spans="1:56" x14ac:dyDescent="0.2">
      <c r="A10" s="111">
        <v>7</v>
      </c>
      <c r="B10" s="153" t="s">
        <v>812</v>
      </c>
      <c r="C10" s="76"/>
      <c r="D10" s="280">
        <f>(D9/$C9)*13.8</f>
        <v>0.17583726537130842</v>
      </c>
      <c r="E10" s="280">
        <f>(E9/$C9)*13.8</f>
        <v>8.4280255948401983</v>
      </c>
      <c r="F10" s="280">
        <f t="shared" ref="F10:BA10" si="46">(F9/$C9)*13.8</f>
        <v>1.4570682985906198E-3</v>
      </c>
      <c r="G10" s="280">
        <f t="shared" si="46"/>
        <v>0.14780558717656836</v>
      </c>
      <c r="H10" s="280">
        <f t="shared" si="46"/>
        <v>6.9461630115262102E-2</v>
      </c>
      <c r="I10" s="280">
        <f t="shared" si="46"/>
        <v>3.0598434270403017E-2</v>
      </c>
      <c r="J10" s="280">
        <f t="shared" si="46"/>
        <v>1.7769478621553817E-2</v>
      </c>
      <c r="K10" s="280">
        <f t="shared" si="46"/>
        <v>1.272763633007303E-2</v>
      </c>
      <c r="L10" s="280">
        <f t="shared" si="46"/>
        <v>0.42419986406849169</v>
      </c>
      <c r="M10" s="280">
        <f t="shared" si="46"/>
        <v>0.3141236613123824</v>
      </c>
      <c r="N10" s="280">
        <f t="shared" si="46"/>
        <v>3.0202806454229405E-3</v>
      </c>
      <c r="O10" s="280">
        <f t="shared" si="46"/>
        <v>3.2827459283478737E-2</v>
      </c>
      <c r="P10" s="280">
        <f t="shared" si="46"/>
        <v>5.673399378518907E-2</v>
      </c>
      <c r="Q10" s="280">
        <f t="shared" si="46"/>
        <v>3.4979288625105937E-2</v>
      </c>
      <c r="R10" s="280">
        <f t="shared" si="46"/>
        <v>4.4315140140910078E-2</v>
      </c>
      <c r="S10" s="280">
        <f t="shared" si="46"/>
        <v>3.982814173796545E-2</v>
      </c>
      <c r="T10" s="280">
        <f t="shared" si="46"/>
        <v>2.098274844559803E-2</v>
      </c>
      <c r="U10" s="280">
        <f t="shared" si="46"/>
        <v>0.48702266643918185</v>
      </c>
      <c r="V10" s="280">
        <f t="shared" si="46"/>
        <v>0.2601735364288052</v>
      </c>
      <c r="W10" s="280">
        <f t="shared" si="46"/>
        <v>4.4416459459686253E-2</v>
      </c>
      <c r="X10" s="280">
        <f t="shared" si="46"/>
        <v>2.6000467089751161E-2</v>
      </c>
      <c r="Y10" s="280">
        <f t="shared" si="46"/>
        <v>0.28610163257657339</v>
      </c>
      <c r="Z10" s="280">
        <f t="shared" si="46"/>
        <v>0.52060760824874908</v>
      </c>
      <c r="AA10" s="280">
        <f t="shared" si="46"/>
        <v>0.23065101682921585</v>
      </c>
      <c r="AB10" s="280">
        <f t="shared" si="46"/>
        <v>4.7822718462351733E-2</v>
      </c>
      <c r="AC10" s="280">
        <f t="shared" si="46"/>
        <v>5.9894191585112437E-2</v>
      </c>
      <c r="AD10" s="280">
        <f t="shared" si="46"/>
        <v>6.1944701607963476E-2</v>
      </c>
      <c r="AE10" s="280">
        <f t="shared" si="46"/>
        <v>2.1870498667255895E-2</v>
      </c>
      <c r="AF10" s="280">
        <f t="shared" si="46"/>
        <v>2.3940307607969058E-2</v>
      </c>
      <c r="AG10" s="280">
        <f t="shared" si="46"/>
        <v>3.8264929391133136E-2</v>
      </c>
      <c r="AH10" s="280">
        <f t="shared" si="46"/>
        <v>2.7886936310774113E-3</v>
      </c>
      <c r="AI10" s="280">
        <f t="shared" si="46"/>
        <v>0.16424826519510091</v>
      </c>
      <c r="AJ10" s="280">
        <f t="shared" si="46"/>
        <v>0.22639078071115121</v>
      </c>
      <c r="AK10" s="280">
        <f t="shared" si="46"/>
        <v>0.17197748179888292</v>
      </c>
      <c r="AL10" s="280">
        <f t="shared" si="46"/>
        <v>4.2708505228887972E-2</v>
      </c>
      <c r="AM10" s="280">
        <f t="shared" si="46"/>
        <v>2.0012977823026131E-2</v>
      </c>
      <c r="AN10" s="280">
        <f t="shared" si="46"/>
        <v>6.8544931516811056E-2</v>
      </c>
      <c r="AO10" s="280">
        <f t="shared" si="46"/>
        <v>4.4927880783032621E-2</v>
      </c>
      <c r="AP10" s="280">
        <f t="shared" si="46"/>
        <v>4.63174028691058E-3</v>
      </c>
      <c r="AQ10" s="280">
        <f t="shared" si="46"/>
        <v>0.17834612469338498</v>
      </c>
      <c r="AR10" s="280">
        <f t="shared" si="46"/>
        <v>0.10606202784078675</v>
      </c>
      <c r="AS10" s="280">
        <f t="shared" si="46"/>
        <v>3.020763118369494E-2</v>
      </c>
      <c r="AT10" s="280">
        <f t="shared" si="46"/>
        <v>0.26409604148428262</v>
      </c>
      <c r="AU10" s="280">
        <f t="shared" si="46"/>
        <v>5.2213222275985724E-2</v>
      </c>
      <c r="AV10" s="280">
        <f t="shared" si="46"/>
        <v>2.6989536630185194E-2</v>
      </c>
      <c r="AW10" s="280">
        <f t="shared" si="46"/>
        <v>7.395345324767226E-2</v>
      </c>
      <c r="AX10" s="280">
        <f t="shared" si="46"/>
        <v>4.7731048602506626E-2</v>
      </c>
      <c r="AY10" s="280">
        <f t="shared" si="46"/>
        <v>4.5786682627897294E-3</v>
      </c>
      <c r="AZ10" s="280">
        <f t="shared" si="46"/>
        <v>0.26853961732203746</v>
      </c>
      <c r="BA10" s="280">
        <f t="shared" si="46"/>
        <v>3.7647364019545056E-2</v>
      </c>
      <c r="BC10" s="120"/>
      <c r="BD10" s="121"/>
    </row>
    <row r="11" spans="1:56" x14ac:dyDescent="0.2">
      <c r="A11" s="111">
        <v>8</v>
      </c>
      <c r="B11" s="143" t="s">
        <v>977</v>
      </c>
      <c r="C11" s="76"/>
      <c r="D11" s="278">
        <f>D9-D10</f>
        <v>3644.3241627346288</v>
      </c>
      <c r="E11" s="278">
        <f t="shared" ref="E11:BA11" si="47">E9-E10</f>
        <v>174675.47197440514</v>
      </c>
      <c r="F11" s="278">
        <f t="shared" si="47"/>
        <v>30.198542931701407</v>
      </c>
      <c r="G11" s="278">
        <f t="shared" si="47"/>
        <v>3063.3521944128233</v>
      </c>
      <c r="H11" s="278">
        <f t="shared" si="47"/>
        <v>1439.6305383698848</v>
      </c>
      <c r="I11" s="278">
        <f t="shared" si="47"/>
        <v>634.16940156572969</v>
      </c>
      <c r="J11" s="278">
        <f t="shared" si="47"/>
        <v>368.28223052137844</v>
      </c>
      <c r="K11" s="278">
        <f t="shared" si="47"/>
        <v>263.78727236366996</v>
      </c>
      <c r="L11" s="278">
        <f t="shared" si="47"/>
        <v>8791.7758001359325</v>
      </c>
      <c r="M11" s="278">
        <f t="shared" si="47"/>
        <v>6510.385876338687</v>
      </c>
      <c r="N11" s="278">
        <f t="shared" si="47"/>
        <v>62.596979719354579</v>
      </c>
      <c r="O11" s="278">
        <f t="shared" si="47"/>
        <v>680.36717254071652</v>
      </c>
      <c r="P11" s="278">
        <f t="shared" si="47"/>
        <v>1175.8432660062149</v>
      </c>
      <c r="Q11" s="278">
        <f t="shared" si="47"/>
        <v>724.9650207113749</v>
      </c>
      <c r="R11" s="278">
        <f t="shared" si="47"/>
        <v>918.45568485985905</v>
      </c>
      <c r="S11" s="278">
        <f t="shared" si="47"/>
        <v>825.46017185826202</v>
      </c>
      <c r="T11" s="278">
        <f t="shared" si="47"/>
        <v>434.87901725155439</v>
      </c>
      <c r="U11" s="278">
        <f t="shared" si="47"/>
        <v>10093.81297733356</v>
      </c>
      <c r="V11" s="278">
        <f t="shared" si="47"/>
        <v>5392.2398264635713</v>
      </c>
      <c r="W11" s="278">
        <f t="shared" si="47"/>
        <v>920.55558354054028</v>
      </c>
      <c r="X11" s="278">
        <f t="shared" si="47"/>
        <v>538.87399953291026</v>
      </c>
      <c r="Y11" s="278">
        <f t="shared" si="47"/>
        <v>5929.6138983674227</v>
      </c>
      <c r="Z11" s="278">
        <f t="shared" si="47"/>
        <v>10789.879392391751</v>
      </c>
      <c r="AA11" s="278">
        <f t="shared" si="47"/>
        <v>4780.3693489831712</v>
      </c>
      <c r="AB11" s="278">
        <f t="shared" si="47"/>
        <v>991.15217728153766</v>
      </c>
      <c r="AC11" s="278">
        <f t="shared" si="47"/>
        <v>1241.340105808415</v>
      </c>
      <c r="AD11" s="278">
        <f t="shared" si="47"/>
        <v>1283.8380552983922</v>
      </c>
      <c r="AE11" s="278">
        <f t="shared" si="47"/>
        <v>453.27812950133273</v>
      </c>
      <c r="AF11" s="278">
        <f t="shared" si="47"/>
        <v>496.17605969239202</v>
      </c>
      <c r="AG11" s="278">
        <f t="shared" si="47"/>
        <v>793.06173507060885</v>
      </c>
      <c r="AH11" s="278">
        <f t="shared" si="47"/>
        <v>57.797211306368922</v>
      </c>
      <c r="AI11" s="278">
        <f t="shared" si="47"/>
        <v>3404.1357517348051</v>
      </c>
      <c r="AJ11" s="278">
        <f t="shared" si="47"/>
        <v>4692.0736092192892</v>
      </c>
      <c r="AK11" s="278">
        <f t="shared" si="47"/>
        <v>3564.3280225182011</v>
      </c>
      <c r="AL11" s="278">
        <f t="shared" si="47"/>
        <v>885.15729149477113</v>
      </c>
      <c r="AM11" s="278">
        <f t="shared" si="47"/>
        <v>414.77998702217701</v>
      </c>
      <c r="AN11" s="278">
        <f t="shared" si="47"/>
        <v>1420.6314550684833</v>
      </c>
      <c r="AO11" s="278">
        <f t="shared" si="47"/>
        <v>931.15507211921704</v>
      </c>
      <c r="AP11" s="278">
        <f t="shared" si="47"/>
        <v>95.995368259713089</v>
      </c>
      <c r="AQ11" s="278">
        <f t="shared" si="47"/>
        <v>3696.3216538753068</v>
      </c>
      <c r="AR11" s="278">
        <f t="shared" si="47"/>
        <v>2198.1939379721593</v>
      </c>
      <c r="AS11" s="278">
        <f t="shared" si="47"/>
        <v>626.06979236881637</v>
      </c>
      <c r="AT11" s="278">
        <f t="shared" si="47"/>
        <v>5473.5359039585155</v>
      </c>
      <c r="AU11" s="278">
        <f t="shared" si="47"/>
        <v>1082.1477867777241</v>
      </c>
      <c r="AV11" s="278">
        <f t="shared" si="47"/>
        <v>559.37301046336984</v>
      </c>
      <c r="AW11" s="278">
        <f t="shared" si="47"/>
        <v>1532.7260465467523</v>
      </c>
      <c r="AX11" s="278">
        <f t="shared" si="47"/>
        <v>989.25226895139747</v>
      </c>
      <c r="AY11" s="278">
        <f t="shared" si="47"/>
        <v>94.895421331737211</v>
      </c>
      <c r="AZ11" s="278">
        <f t="shared" si="47"/>
        <v>5565.6314603826777</v>
      </c>
      <c r="BA11" s="278">
        <f t="shared" si="47"/>
        <v>780.26235263598039</v>
      </c>
      <c r="BC11" s="120"/>
      <c r="BD11" s="121"/>
    </row>
    <row r="12" spans="1:56" x14ac:dyDescent="0.2">
      <c r="A12" s="111">
        <v>9</v>
      </c>
      <c r="B12" s="391" t="s">
        <v>975</v>
      </c>
      <c r="C12" s="281">
        <f>1193.93</f>
        <v>1193.93</v>
      </c>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C12" s="120"/>
      <c r="BD12" s="121"/>
    </row>
    <row r="13" spans="1:56" x14ac:dyDescent="0.2">
      <c r="A13" s="111">
        <v>10</v>
      </c>
      <c r="B13" s="143" t="s">
        <v>932</v>
      </c>
      <c r="C13" s="144"/>
      <c r="D13" s="278">
        <f>D15-D6</f>
        <v>1293.6924275707211</v>
      </c>
      <c r="E13" s="278">
        <f t="shared" ref="E13:BA13" si="48">E15-E6</f>
        <v>-63616.427671063189</v>
      </c>
      <c r="F13" s="278">
        <f t="shared" si="48"/>
        <v>577.29834453252511</v>
      </c>
      <c r="G13" s="278">
        <f t="shared" si="48"/>
        <v>3363.0643962210988</v>
      </c>
      <c r="H13" s="278">
        <f t="shared" si="48"/>
        <v>1822.9735833499142</v>
      </c>
      <c r="I13" s="278">
        <f t="shared" si="48"/>
        <v>670.87224712218983</v>
      </c>
      <c r="J13" s="278">
        <f t="shared" si="48"/>
        <v>68.906721789074595</v>
      </c>
      <c r="K13" s="278">
        <f t="shared" si="48"/>
        <v>49.282431344196766</v>
      </c>
      <c r="L13" s="278">
        <f t="shared" si="48"/>
        <v>4470.7184374257649</v>
      </c>
      <c r="M13" s="278">
        <f t="shared" si="48"/>
        <v>-2045.0553711881016</v>
      </c>
      <c r="N13" s="278">
        <f t="shared" si="48"/>
        <v>-24.228755247929747</v>
      </c>
      <c r="O13" s="278">
        <f t="shared" si="48"/>
        <v>-108.10640959106382</v>
      </c>
      <c r="P13" s="278">
        <f t="shared" si="48"/>
        <v>4182.6577435063818</v>
      </c>
      <c r="Q13" s="278">
        <f t="shared" si="48"/>
        <v>2929.1515956148</v>
      </c>
      <c r="R13" s="278">
        <f t="shared" si="48"/>
        <v>1691.62761251598</v>
      </c>
      <c r="S13" s="278">
        <f t="shared" si="48"/>
        <v>-276.69015858499188</v>
      </c>
      <c r="T13" s="278">
        <f t="shared" si="48"/>
        <v>586.96859367108652</v>
      </c>
      <c r="U13" s="278">
        <f t="shared" si="48"/>
        <v>473.43551250469591</v>
      </c>
      <c r="V13" s="278">
        <f t="shared" si="48"/>
        <v>-1176.9553012015913</v>
      </c>
      <c r="W13" s="278">
        <f t="shared" si="48"/>
        <v>156.10377662699329</v>
      </c>
      <c r="X13" s="278">
        <f t="shared" si="48"/>
        <v>-5.1119652195511662</v>
      </c>
      <c r="Y13" s="278">
        <f t="shared" si="48"/>
        <v>1378.6193342849265</v>
      </c>
      <c r="Z13" s="278">
        <f t="shared" si="48"/>
        <v>-956.39056952827741</v>
      </c>
      <c r="AA13" s="278">
        <f t="shared" si="48"/>
        <v>1661.3162289403995</v>
      </c>
      <c r="AB13" s="278">
        <f t="shared" si="48"/>
        <v>2169.6586958406033</v>
      </c>
      <c r="AC13" s="278">
        <f t="shared" si="48"/>
        <v>-492.89872028589321</v>
      </c>
      <c r="AD13" s="278">
        <f t="shared" si="48"/>
        <v>615.32380395470261</v>
      </c>
      <c r="AE13" s="278">
        <f t="shared" si="48"/>
        <v>-135.27210575730393</v>
      </c>
      <c r="AF13" s="278">
        <f t="shared" si="48"/>
        <v>-352.62147833672088</v>
      </c>
      <c r="AG13" s="278">
        <f t="shared" si="48"/>
        <v>185.71950144533082</v>
      </c>
      <c r="AH13" s="278">
        <f t="shared" si="48"/>
        <v>412.01778222128212</v>
      </c>
      <c r="AI13" s="278">
        <f t="shared" si="48"/>
        <v>-1732.3773997655803</v>
      </c>
      <c r="AJ13" s="278">
        <f t="shared" si="48"/>
        <v>2544.0560723430526</v>
      </c>
      <c r="AK13" s="278">
        <f t="shared" si="48"/>
        <v>-349.03166056333953</v>
      </c>
      <c r="AL13" s="278">
        <f t="shared" si="48"/>
        <v>2377.446830225028</v>
      </c>
      <c r="AM13" s="278">
        <f t="shared" si="48"/>
        <v>1440.075708257963</v>
      </c>
      <c r="AN13" s="278">
        <f t="shared" si="48"/>
        <v>55.370649597553552</v>
      </c>
      <c r="AO13" s="278">
        <f t="shared" si="48"/>
        <v>-195.76410308357441</v>
      </c>
      <c r="AP13" s="278">
        <f t="shared" si="48"/>
        <v>-28.988004807831864</v>
      </c>
      <c r="AQ13" s="278">
        <f t="shared" si="48"/>
        <v>488.94691346685113</v>
      </c>
      <c r="AR13" s="278">
        <f t="shared" si="48"/>
        <v>-413.48423130899516</v>
      </c>
      <c r="AS13" s="278">
        <f t="shared" si="48"/>
        <v>637.8630443854338</v>
      </c>
      <c r="AT13" s="278">
        <f t="shared" si="48"/>
        <v>4966.6015292975362</v>
      </c>
      <c r="AU13" s="278">
        <f t="shared" si="48"/>
        <v>-558.8260856538684</v>
      </c>
      <c r="AV13" s="278">
        <f t="shared" si="48"/>
        <v>-336.86340936207955</v>
      </c>
      <c r="AW13" s="278">
        <f t="shared" si="48"/>
        <v>-326.21504233477071</v>
      </c>
      <c r="AX13" s="278">
        <f t="shared" si="48"/>
        <v>-108.34915608705182</v>
      </c>
      <c r="AY13" s="278">
        <f t="shared" si="48"/>
        <v>-7.4576308696466072</v>
      </c>
      <c r="AZ13" s="278">
        <f t="shared" si="48"/>
        <v>829.07261818812776</v>
      </c>
      <c r="BA13" s="278">
        <f t="shared" si="48"/>
        <v>524.77929605193924</v>
      </c>
      <c r="BC13" s="120"/>
      <c r="BD13" s="121"/>
    </row>
    <row r="14" spans="1:56" x14ac:dyDescent="0.2">
      <c r="A14" s="111">
        <v>11</v>
      </c>
      <c r="B14" s="143" t="s">
        <v>973</v>
      </c>
      <c r="C14" s="144"/>
      <c r="D14" s="278">
        <f>D13*1000*$C12</f>
        <v>1544578200.0495112</v>
      </c>
      <c r="E14" s="278">
        <f>E13*1000*$C12</f>
        <v>-75953561489.312485</v>
      </c>
      <c r="F14" s="278">
        <f t="shared" ref="F14:BA14" si="49">F13*1000*$C12</f>
        <v>689253812.48771763</v>
      </c>
      <c r="G14" s="278">
        <f t="shared" si="49"/>
        <v>4015263474.5802569</v>
      </c>
      <c r="H14" s="278">
        <f t="shared" si="49"/>
        <v>2176502850.3689632</v>
      </c>
      <c r="I14" s="278">
        <f t="shared" si="49"/>
        <v>800974502.00659621</v>
      </c>
      <c r="J14" s="278">
        <f t="shared" si="49"/>
        <v>82269802.345629841</v>
      </c>
      <c r="K14" s="278">
        <f t="shared" si="49"/>
        <v>58839773.25477685</v>
      </c>
      <c r="L14" s="278">
        <f t="shared" si="49"/>
        <v>5337724863.9957438</v>
      </c>
      <c r="M14" s="278">
        <f t="shared" si="49"/>
        <v>-2441652959.3226104</v>
      </c>
      <c r="N14" s="278">
        <f t="shared" si="49"/>
        <v>-28927437.753160767</v>
      </c>
      <c r="O14" s="278">
        <f t="shared" si="49"/>
        <v>-129071485.60305884</v>
      </c>
      <c r="P14" s="278">
        <f t="shared" si="49"/>
        <v>4993800559.7045746</v>
      </c>
      <c r="Q14" s="278">
        <f t="shared" si="49"/>
        <v>3497201964.5523787</v>
      </c>
      <c r="R14" s="278">
        <f t="shared" si="49"/>
        <v>2019684955.4112041</v>
      </c>
      <c r="S14" s="278">
        <f t="shared" si="49"/>
        <v>-330348681.03937936</v>
      </c>
      <c r="T14" s="278">
        <f t="shared" si="49"/>
        <v>700799413.04172027</v>
      </c>
      <c r="U14" s="278">
        <f t="shared" si="49"/>
        <v>565248861.44473159</v>
      </c>
      <c r="V14" s="278">
        <f t="shared" si="49"/>
        <v>-1405202242.7636158</v>
      </c>
      <c r="W14" s="278">
        <f t="shared" si="49"/>
        <v>186376982.0282661</v>
      </c>
      <c r="X14" s="278">
        <f t="shared" si="49"/>
        <v>-6103328.6345787244</v>
      </c>
      <c r="Y14" s="278">
        <f t="shared" si="49"/>
        <v>1645974981.7828023</v>
      </c>
      <c r="Z14" s="278">
        <f t="shared" si="49"/>
        <v>-1141863392.6768963</v>
      </c>
      <c r="AA14" s="278">
        <f t="shared" si="49"/>
        <v>1983495285.218811</v>
      </c>
      <c r="AB14" s="278">
        <f t="shared" si="49"/>
        <v>2590420606.7249713</v>
      </c>
      <c r="AC14" s="278">
        <f t="shared" si="49"/>
        <v>-588486569.11093652</v>
      </c>
      <c r="AD14" s="278">
        <f t="shared" si="49"/>
        <v>734653549.25563812</v>
      </c>
      <c r="AE14" s="278">
        <f t="shared" si="49"/>
        <v>-161505425.22681791</v>
      </c>
      <c r="AF14" s="278">
        <f t="shared" si="49"/>
        <v>-421005361.63056123</v>
      </c>
      <c r="AG14" s="278">
        <f t="shared" si="49"/>
        <v>221736084.36062384</v>
      </c>
      <c r="AH14" s="278">
        <f t="shared" si="49"/>
        <v>491920390.72745538</v>
      </c>
      <c r="AI14" s="278">
        <f t="shared" si="49"/>
        <v>-2068337348.9021196</v>
      </c>
      <c r="AJ14" s="278">
        <f t="shared" si="49"/>
        <v>3037424866.4525414</v>
      </c>
      <c r="AK14" s="278">
        <f t="shared" si="49"/>
        <v>-416719370.49638802</v>
      </c>
      <c r="AL14" s="278">
        <f t="shared" si="49"/>
        <v>2838505094.0105681</v>
      </c>
      <c r="AM14" s="278">
        <f t="shared" si="49"/>
        <v>1719349590.3604298</v>
      </c>
      <c r="AN14" s="278">
        <f t="shared" si="49"/>
        <v>66108679.674007118</v>
      </c>
      <c r="AO14" s="278">
        <f t="shared" si="49"/>
        <v>-233728635.59457201</v>
      </c>
      <c r="AP14" s="278">
        <f t="shared" si="49"/>
        <v>-34609648.580214702</v>
      </c>
      <c r="AQ14" s="278">
        <f t="shared" si="49"/>
        <v>583768388.39547753</v>
      </c>
      <c r="AR14" s="278">
        <f t="shared" si="49"/>
        <v>-493671228.28674865</v>
      </c>
      <c r="AS14" s="278">
        <f t="shared" si="49"/>
        <v>761563824.58310103</v>
      </c>
      <c r="AT14" s="278">
        <f t="shared" si="49"/>
        <v>5929774563.8742075</v>
      </c>
      <c r="AU14" s="278">
        <f t="shared" si="49"/>
        <v>-667199228.44472313</v>
      </c>
      <c r="AV14" s="278">
        <f t="shared" si="49"/>
        <v>-402191330.33966768</v>
      </c>
      <c r="AW14" s="278">
        <f t="shared" si="49"/>
        <v>-389477925.49475282</v>
      </c>
      <c r="AX14" s="278">
        <f t="shared" si="49"/>
        <v>-129361307.9270138</v>
      </c>
      <c r="AY14" s="278">
        <f t="shared" si="49"/>
        <v>-8903889.2241971754</v>
      </c>
      <c r="AZ14" s="278">
        <f t="shared" si="49"/>
        <v>989854671.03335142</v>
      </c>
      <c r="BA14" s="278">
        <f t="shared" si="49"/>
        <v>626549744.93529189</v>
      </c>
      <c r="BC14" s="120"/>
      <c r="BD14" s="121"/>
    </row>
    <row r="15" spans="1:56" x14ac:dyDescent="0.2">
      <c r="A15" s="111">
        <v>12</v>
      </c>
      <c r="B15" s="143" t="s">
        <v>537</v>
      </c>
      <c r="C15" s="144"/>
      <c r="D15" s="278">
        <f>(D5-D11)</f>
        <v>3923.2758372653716</v>
      </c>
      <c r="E15" s="278">
        <f>(E5-E11)</f>
        <v>-4475.4719744051399</v>
      </c>
      <c r="F15" s="278">
        <f t="shared" ref="F15:BA15" si="50">(F5-F11)</f>
        <v>900.80145706829865</v>
      </c>
      <c r="G15" s="278">
        <f t="shared" si="50"/>
        <v>6785.247805587177</v>
      </c>
      <c r="H15" s="278">
        <f t="shared" si="50"/>
        <v>3560.3694616301154</v>
      </c>
      <c r="I15" s="278">
        <f t="shared" si="50"/>
        <v>1365.8305984342703</v>
      </c>
      <c r="J15" s="278">
        <f t="shared" si="50"/>
        <v>301.71776947862156</v>
      </c>
      <c r="K15" s="278">
        <f t="shared" si="50"/>
        <v>215.99772763633007</v>
      </c>
      <c r="L15" s="278">
        <f t="shared" si="50"/>
        <v>11533.237199864066</v>
      </c>
      <c r="M15" s="278">
        <f t="shared" si="50"/>
        <v>332.81412366131281</v>
      </c>
      <c r="N15" s="278">
        <f t="shared" si="50"/>
        <v>-3.7969797193545816</v>
      </c>
      <c r="O15" s="278">
        <f t="shared" si="50"/>
        <v>196.63282745928348</v>
      </c>
      <c r="P15" s="278">
        <f t="shared" si="50"/>
        <v>7036.1567339937847</v>
      </c>
      <c r="Q15" s="278">
        <f t="shared" si="50"/>
        <v>4875.0349792886254</v>
      </c>
      <c r="R15" s="278">
        <f t="shared" si="50"/>
        <v>3081.544315140141</v>
      </c>
      <c r="S15" s="278">
        <f t="shared" si="50"/>
        <v>15.539828141737985</v>
      </c>
      <c r="T15" s="278">
        <f t="shared" si="50"/>
        <v>1131.1209827484456</v>
      </c>
      <c r="U15" s="278">
        <f t="shared" si="50"/>
        <v>6100.6870226664396</v>
      </c>
      <c r="V15" s="278">
        <f t="shared" si="50"/>
        <v>1067.7601735364287</v>
      </c>
      <c r="W15" s="278">
        <f t="shared" si="50"/>
        <v>729.44441645945972</v>
      </c>
      <c r="X15" s="278">
        <f t="shared" si="50"/>
        <v>279.12600046708974</v>
      </c>
      <c r="Y15" s="278">
        <f t="shared" si="50"/>
        <v>5270.3861016325773</v>
      </c>
      <c r="Z15" s="278">
        <f t="shared" si="50"/>
        <v>4280.120607608249</v>
      </c>
      <c r="AA15" s="278">
        <f t="shared" si="50"/>
        <v>5091.6306510168288</v>
      </c>
      <c r="AB15" s="278">
        <f t="shared" si="50"/>
        <v>3852.8478227184623</v>
      </c>
      <c r="AC15" s="278">
        <f t="shared" si="50"/>
        <v>-94.340105808415046</v>
      </c>
      <c r="AD15" s="278">
        <f t="shared" si="50"/>
        <v>1626.6619447016078</v>
      </c>
      <c r="AE15" s="278">
        <f t="shared" si="50"/>
        <v>34.071870498667295</v>
      </c>
      <c r="AF15" s="278">
        <f t="shared" si="50"/>
        <v>-276.17605969239202</v>
      </c>
      <c r="AG15" s="278">
        <f t="shared" si="50"/>
        <v>706.93826492939115</v>
      </c>
      <c r="AH15" s="278">
        <f t="shared" si="50"/>
        <v>662.20278869363108</v>
      </c>
      <c r="AI15" s="278">
        <f t="shared" si="50"/>
        <v>-842.13575173480513</v>
      </c>
      <c r="AJ15" s="278">
        <f t="shared" si="50"/>
        <v>6397.4263907807108</v>
      </c>
      <c r="AK15" s="278">
        <f t="shared" si="50"/>
        <v>1363.1719774817989</v>
      </c>
      <c r="AL15" s="278">
        <f t="shared" si="50"/>
        <v>4114.842708505229</v>
      </c>
      <c r="AM15" s="278">
        <f t="shared" si="50"/>
        <v>2427.8200129778229</v>
      </c>
      <c r="AN15" s="278">
        <f t="shared" si="50"/>
        <v>841.36854493151668</v>
      </c>
      <c r="AO15" s="278">
        <f t="shared" si="50"/>
        <v>195.84492788078296</v>
      </c>
      <c r="AP15" s="278">
        <f t="shared" si="50"/>
        <v>6.6946317402869084</v>
      </c>
      <c r="AQ15" s="278">
        <f t="shared" si="50"/>
        <v>2717.6783461246932</v>
      </c>
      <c r="AR15" s="278">
        <f t="shared" si="50"/>
        <v>536.90606202784056</v>
      </c>
      <c r="AS15" s="278">
        <f t="shared" si="50"/>
        <v>1310.9302076311837</v>
      </c>
      <c r="AT15" s="278">
        <f t="shared" si="50"/>
        <v>10526.164096041484</v>
      </c>
      <c r="AU15" s="278">
        <f t="shared" si="50"/>
        <v>-280.14778677772415</v>
      </c>
      <c r="AV15" s="278">
        <f t="shared" si="50"/>
        <v>-218.37301046336984</v>
      </c>
      <c r="AW15" s="278">
        <f t="shared" si="50"/>
        <v>316.27395345324771</v>
      </c>
      <c r="AX15" s="278">
        <f t="shared" si="50"/>
        <v>360.74773104860253</v>
      </c>
      <c r="AY15" s="278">
        <f t="shared" si="50"/>
        <v>39.104578668262789</v>
      </c>
      <c r="AZ15" s="278">
        <f t="shared" si="50"/>
        <v>4234.3685396173223</v>
      </c>
      <c r="BA15" s="278">
        <f t="shared" si="50"/>
        <v>1219.7376473640197</v>
      </c>
      <c r="BC15" s="120"/>
      <c r="BD15" s="121"/>
    </row>
    <row r="16" spans="1:56" x14ac:dyDescent="0.2">
      <c r="B16" s="143"/>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C16" s="120"/>
      <c r="BD16" s="121"/>
    </row>
    <row r="17" spans="1:56" x14ac:dyDescent="0.2">
      <c r="B17" s="143"/>
      <c r="C17" s="76"/>
      <c r="D17" s="144"/>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C17" s="120"/>
      <c r="BD17" s="121"/>
    </row>
    <row r="18" spans="1:56" x14ac:dyDescent="0.2">
      <c r="A18" s="111">
        <v>1</v>
      </c>
      <c r="B18" s="143" t="s">
        <v>934</v>
      </c>
      <c r="C18" s="76"/>
      <c r="D18" s="144"/>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C18" s="120"/>
      <c r="BD18" s="121"/>
    </row>
    <row r="19" spans="1:56" x14ac:dyDescent="0.2">
      <c r="A19" s="111">
        <v>2</v>
      </c>
      <c r="B19" s="143" t="s">
        <v>969</v>
      </c>
      <c r="C19" s="76"/>
      <c r="D19" s="144"/>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C19" s="120"/>
      <c r="BD19" s="121"/>
    </row>
    <row r="20" spans="1:56" x14ac:dyDescent="0.2">
      <c r="A20" s="111">
        <v>3</v>
      </c>
      <c r="B20" s="143" t="s">
        <v>970</v>
      </c>
      <c r="C20" s="76"/>
      <c r="D20" s="144"/>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C20" s="120"/>
      <c r="BD20" s="121"/>
    </row>
    <row r="21" spans="1:56" x14ac:dyDescent="0.2">
      <c r="A21" s="111">
        <v>4</v>
      </c>
      <c r="B21" s="143" t="s">
        <v>972</v>
      </c>
      <c r="C21" s="76"/>
      <c r="D21" s="144"/>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C21" s="120"/>
      <c r="BD21" s="121"/>
    </row>
    <row r="22" spans="1:56" x14ac:dyDescent="0.2">
      <c r="A22" s="111">
        <v>6</v>
      </c>
      <c r="B22" s="143" t="s">
        <v>931</v>
      </c>
      <c r="C22" s="76"/>
      <c r="D22" s="144"/>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C22" s="120"/>
      <c r="BD22" s="121"/>
    </row>
    <row r="23" spans="1:56" x14ac:dyDescent="0.2">
      <c r="A23" s="111">
        <v>7</v>
      </c>
      <c r="B23" s="19" t="s">
        <v>771</v>
      </c>
      <c r="C23" s="76"/>
      <c r="D23" s="144"/>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C23" s="120"/>
      <c r="BD23" s="121"/>
    </row>
    <row r="24" spans="1:56" x14ac:dyDescent="0.2">
      <c r="A24" s="111">
        <v>8</v>
      </c>
      <c r="B24" s="143" t="s">
        <v>933</v>
      </c>
      <c r="C24" s="76"/>
      <c r="D24" s="144"/>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C24" s="120"/>
      <c r="BD24" s="121"/>
    </row>
    <row r="25" spans="1:56" x14ac:dyDescent="0.2">
      <c r="A25" s="111">
        <v>9</v>
      </c>
      <c r="B25" s="143" t="s">
        <v>872</v>
      </c>
      <c r="C25" s="76"/>
      <c r="D25" s="144"/>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C25" s="120"/>
      <c r="BD25" s="121"/>
    </row>
    <row r="26" spans="1:56" x14ac:dyDescent="0.2">
      <c r="A26" s="111">
        <v>10</v>
      </c>
      <c r="B26" s="153" t="s">
        <v>935</v>
      </c>
      <c r="C26" s="76"/>
      <c r="D26" s="144"/>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C26" s="120"/>
      <c r="BD26" s="121"/>
    </row>
    <row r="27" spans="1:56" x14ac:dyDescent="0.2">
      <c r="A27" s="111">
        <v>11</v>
      </c>
      <c r="B27" s="153" t="s">
        <v>937</v>
      </c>
      <c r="C27" s="76"/>
      <c r="D27" s="144"/>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C27" s="120"/>
      <c r="BD27" s="121"/>
    </row>
    <row r="28" spans="1:56" x14ac:dyDescent="0.2">
      <c r="A28" s="111">
        <v>12</v>
      </c>
      <c r="B28" s="153" t="s">
        <v>936</v>
      </c>
      <c r="C28" s="76"/>
      <c r="D28" s="144"/>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C28" s="120"/>
      <c r="BD28" s="121"/>
    </row>
    <row r="29" spans="1:56" x14ac:dyDescent="0.2">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C29" s="120"/>
      <c r="BD29" s="121"/>
    </row>
    <row r="30" spans="1:56" x14ac:dyDescent="0.2">
      <c r="A30" s="111">
        <v>2</v>
      </c>
      <c r="B30" s="282" t="s">
        <v>368</v>
      </c>
      <c r="C30" s="282"/>
      <c r="D30" s="283">
        <f>D5</f>
        <v>7567.6</v>
      </c>
      <c r="E30" s="284">
        <v>170200</v>
      </c>
      <c r="F30" s="284">
        <v>931</v>
      </c>
      <c r="G30" s="284">
        <v>9848.6</v>
      </c>
      <c r="H30" s="284">
        <v>5000</v>
      </c>
      <c r="I30" s="284">
        <v>2000</v>
      </c>
      <c r="J30" s="284">
        <v>670</v>
      </c>
      <c r="K30" s="284">
        <v>479.78500000000003</v>
      </c>
      <c r="L30" s="284">
        <v>20325.012999999999</v>
      </c>
      <c r="M30" s="284">
        <v>6843.2</v>
      </c>
      <c r="N30" s="284">
        <v>58.8</v>
      </c>
      <c r="O30" s="284">
        <v>877</v>
      </c>
      <c r="P30" s="284">
        <v>8212</v>
      </c>
      <c r="Q30" s="284">
        <v>5600</v>
      </c>
      <c r="R30" s="284">
        <v>4000</v>
      </c>
      <c r="S30" s="284">
        <v>841</v>
      </c>
      <c r="T30" s="284">
        <v>1566</v>
      </c>
      <c r="U30" s="284">
        <v>16194.5</v>
      </c>
      <c r="V30" s="284">
        <v>6460</v>
      </c>
      <c r="W30" s="284">
        <v>1650</v>
      </c>
      <c r="X30" s="284">
        <v>818</v>
      </c>
      <c r="Y30" s="284">
        <v>11200</v>
      </c>
      <c r="Z30" s="284">
        <v>15070</v>
      </c>
      <c r="AA30" s="284">
        <v>9872</v>
      </c>
      <c r="AB30" s="284">
        <v>4844</v>
      </c>
      <c r="AC30" s="284">
        <v>1147</v>
      </c>
      <c r="AD30" s="284">
        <v>2910.5</v>
      </c>
      <c r="AE30" s="284">
        <v>487.35</v>
      </c>
      <c r="AF30" s="284">
        <v>220</v>
      </c>
      <c r="AG30" s="284">
        <v>1500</v>
      </c>
      <c r="AH30" s="284">
        <v>720</v>
      </c>
      <c r="AI30" s="284">
        <v>2562</v>
      </c>
      <c r="AJ30" s="284">
        <v>11089.5</v>
      </c>
      <c r="AK30" s="284">
        <v>4927.5</v>
      </c>
      <c r="AL30" s="284">
        <v>5000</v>
      </c>
      <c r="AM30" s="284">
        <v>2842.6</v>
      </c>
      <c r="AN30" s="284">
        <v>2262</v>
      </c>
      <c r="AO30" s="284">
        <v>1127</v>
      </c>
      <c r="AP30" s="284">
        <v>102.69</v>
      </c>
      <c r="AQ30" s="284">
        <v>6414</v>
      </c>
      <c r="AR30" s="284">
        <v>2735.1</v>
      </c>
      <c r="AS30" s="284">
        <v>1937</v>
      </c>
      <c r="AT30" s="284">
        <v>15999.7</v>
      </c>
      <c r="AU30" s="284">
        <v>802</v>
      </c>
      <c r="AV30" s="284">
        <v>341</v>
      </c>
      <c r="AW30" s="284">
        <v>1849</v>
      </c>
      <c r="AX30" s="284">
        <v>1350</v>
      </c>
      <c r="AY30" s="284">
        <v>134</v>
      </c>
      <c r="AZ30" s="284">
        <v>9800</v>
      </c>
      <c r="BA30" s="284">
        <v>2000</v>
      </c>
      <c r="BC30" s="120"/>
    </row>
    <row r="31" spans="1:56" s="76" customFormat="1" x14ac:dyDescent="0.2">
      <c r="B31" s="285" t="s">
        <v>369</v>
      </c>
      <c r="C31" s="286"/>
      <c r="D31" s="287">
        <f>D6</f>
        <v>2629.5834096946505</v>
      </c>
      <c r="E31" s="288">
        <f t="shared" ref="E31:AZ31" si="51">(E30/391390.361)*136000</f>
        <v>59140.955696658049</v>
      </c>
      <c r="F31" s="288">
        <f t="shared" si="51"/>
        <v>323.50311253577348</v>
      </c>
      <c r="G31" s="288">
        <f t="shared" si="51"/>
        <v>3422.1834093660782</v>
      </c>
      <c r="H31" s="288">
        <f t="shared" si="51"/>
        <v>1737.3958782802013</v>
      </c>
      <c r="I31" s="288">
        <f t="shared" si="51"/>
        <v>694.95835131208048</v>
      </c>
      <c r="J31" s="288">
        <f t="shared" si="51"/>
        <v>232.81104768954697</v>
      </c>
      <c r="K31" s="288">
        <f t="shared" si="51"/>
        <v>166.7152962921333</v>
      </c>
      <c r="L31" s="288">
        <f t="shared" si="51"/>
        <v>7062.5187624383016</v>
      </c>
      <c r="M31" s="288">
        <f t="shared" si="51"/>
        <v>2377.8694948494144</v>
      </c>
      <c r="N31" s="288">
        <f t="shared" si="51"/>
        <v>20.431775528575166</v>
      </c>
      <c r="O31" s="288">
        <f t="shared" si="51"/>
        <v>304.7392370503473</v>
      </c>
      <c r="P31" s="288">
        <f t="shared" si="51"/>
        <v>2853.4989904874028</v>
      </c>
      <c r="Q31" s="288">
        <f t="shared" si="51"/>
        <v>1945.8833836738254</v>
      </c>
      <c r="R31" s="288">
        <f t="shared" si="51"/>
        <v>1389.916702624161</v>
      </c>
      <c r="S31" s="288">
        <f t="shared" si="51"/>
        <v>292.22998672672986</v>
      </c>
      <c r="T31" s="288">
        <f t="shared" si="51"/>
        <v>544.15238907735909</v>
      </c>
      <c r="U31" s="288">
        <f t="shared" si="51"/>
        <v>5627.2515101617437</v>
      </c>
      <c r="V31" s="288">
        <f t="shared" si="51"/>
        <v>2244.71547473802</v>
      </c>
      <c r="W31" s="288">
        <f t="shared" si="51"/>
        <v>573.34063983246642</v>
      </c>
      <c r="X31" s="288">
        <f t="shared" si="51"/>
        <v>284.23796568664091</v>
      </c>
      <c r="Y31" s="288">
        <f t="shared" si="51"/>
        <v>3891.7667673476508</v>
      </c>
      <c r="Z31" s="288">
        <f t="shared" si="51"/>
        <v>5236.5111771365264</v>
      </c>
      <c r="AA31" s="288">
        <f t="shared" si="51"/>
        <v>3430.3144220764293</v>
      </c>
      <c r="AB31" s="288">
        <f t="shared" si="51"/>
        <v>1683.1891268778591</v>
      </c>
      <c r="AC31" s="288">
        <f t="shared" si="51"/>
        <v>398.55861447747816</v>
      </c>
      <c r="AD31" s="288">
        <f t="shared" si="51"/>
        <v>1011.3381407469052</v>
      </c>
      <c r="AE31" s="288">
        <f t="shared" si="51"/>
        <v>169.34397625597123</v>
      </c>
      <c r="AF31" s="288">
        <f t="shared" si="51"/>
        <v>76.445418644328853</v>
      </c>
      <c r="AG31" s="288">
        <f t="shared" si="51"/>
        <v>521.21876348406033</v>
      </c>
      <c r="AH31" s="288">
        <f t="shared" si="51"/>
        <v>250.18500647234899</v>
      </c>
      <c r="AI31" s="288">
        <f t="shared" si="51"/>
        <v>890.24164803077508</v>
      </c>
      <c r="AJ31" s="288">
        <f t="shared" si="51"/>
        <v>3853.3703184376582</v>
      </c>
      <c r="AK31" s="288">
        <f t="shared" si="51"/>
        <v>1712.2036380451384</v>
      </c>
      <c r="AL31" s="288">
        <f t="shared" si="51"/>
        <v>1737.3958782802013</v>
      </c>
      <c r="AM31" s="288">
        <f t="shared" si="51"/>
        <v>987.74430471986</v>
      </c>
      <c r="AN31" s="288">
        <f t="shared" si="51"/>
        <v>785.99789533396313</v>
      </c>
      <c r="AO31" s="288">
        <f t="shared" si="51"/>
        <v>391.60903096435737</v>
      </c>
      <c r="AP31" s="288">
        <f t="shared" si="51"/>
        <v>35.682636548118772</v>
      </c>
      <c r="AQ31" s="288">
        <f t="shared" si="51"/>
        <v>2228.7314326578421</v>
      </c>
      <c r="AR31" s="288">
        <f t="shared" si="51"/>
        <v>950.39029333683573</v>
      </c>
      <c r="AS31" s="288">
        <f t="shared" si="51"/>
        <v>673.06716324574995</v>
      </c>
      <c r="AT31" s="288">
        <f t="shared" si="51"/>
        <v>5559.5625667439481</v>
      </c>
      <c r="AU31" s="288">
        <f t="shared" si="51"/>
        <v>278.67829887614431</v>
      </c>
      <c r="AV31" s="288">
        <f t="shared" si="51"/>
        <v>118.49039889870973</v>
      </c>
      <c r="AW31" s="288">
        <f t="shared" si="51"/>
        <v>642.48899578801843</v>
      </c>
      <c r="AX31" s="288">
        <f t="shared" si="51"/>
        <v>469.09688713565436</v>
      </c>
      <c r="AY31" s="288">
        <f t="shared" si="51"/>
        <v>46.562209537909396</v>
      </c>
      <c r="AZ31" s="288">
        <f t="shared" si="51"/>
        <v>3405.2959214291946</v>
      </c>
      <c r="BA31" s="288">
        <f>(BA30/391390.361)*136000</f>
        <v>694.95835131208048</v>
      </c>
      <c r="BB31" s="144"/>
      <c r="BD31" s="143"/>
    </row>
    <row r="32" spans="1:56" x14ac:dyDescent="0.2">
      <c r="B32" s="282" t="s">
        <v>370</v>
      </c>
      <c r="C32" s="282"/>
      <c r="D32" s="283">
        <v>517.28</v>
      </c>
      <c r="E32" s="284">
        <v>517.28</v>
      </c>
      <c r="F32" s="284">
        <v>517.28</v>
      </c>
      <c r="G32" s="284">
        <v>517.28</v>
      </c>
      <c r="H32" s="284">
        <v>517.28</v>
      </c>
      <c r="I32" s="284">
        <v>517.28</v>
      </c>
      <c r="J32" s="284">
        <v>517.28</v>
      </c>
      <c r="K32" s="284">
        <v>517.28</v>
      </c>
      <c r="L32" s="284">
        <v>517.28</v>
      </c>
      <c r="M32" s="284">
        <v>517.28</v>
      </c>
      <c r="N32" s="284">
        <v>517.28</v>
      </c>
      <c r="O32" s="284">
        <v>517.28</v>
      </c>
      <c r="P32" s="284">
        <v>517.28</v>
      </c>
      <c r="Q32" s="284">
        <v>517.28</v>
      </c>
      <c r="R32" s="284">
        <v>517.28</v>
      </c>
      <c r="S32" s="284">
        <v>517.28</v>
      </c>
      <c r="T32" s="284">
        <v>517.28</v>
      </c>
      <c r="U32" s="284">
        <v>517.28</v>
      </c>
      <c r="V32" s="284">
        <v>517.28</v>
      </c>
      <c r="W32" s="284">
        <v>517.28</v>
      </c>
      <c r="X32" s="284">
        <v>517.28</v>
      </c>
      <c r="Y32" s="284">
        <v>517.28</v>
      </c>
      <c r="Z32" s="284">
        <v>517.28</v>
      </c>
      <c r="AA32" s="284">
        <v>517.28</v>
      </c>
      <c r="AB32" s="284">
        <v>517.28</v>
      </c>
      <c r="AC32" s="284">
        <v>517.28</v>
      </c>
      <c r="AD32" s="284">
        <v>517.28</v>
      </c>
      <c r="AE32" s="284">
        <v>517.28</v>
      </c>
      <c r="AF32" s="284">
        <v>517.28</v>
      </c>
      <c r="AG32" s="284">
        <v>517.28</v>
      </c>
      <c r="AH32" s="284">
        <v>517.28</v>
      </c>
      <c r="AI32" s="284">
        <v>517.28</v>
      </c>
      <c r="AJ32" s="284">
        <v>517.28</v>
      </c>
      <c r="AK32" s="284">
        <v>517.28</v>
      </c>
      <c r="AL32" s="284">
        <v>517.28</v>
      </c>
      <c r="AM32" s="284">
        <v>517.28</v>
      </c>
      <c r="AN32" s="284">
        <v>517.28</v>
      </c>
      <c r="AO32" s="284">
        <v>517.28</v>
      </c>
      <c r="AP32" s="284">
        <v>517.28</v>
      </c>
      <c r="AQ32" s="284">
        <v>517.28</v>
      </c>
      <c r="AR32" s="284">
        <v>517.28</v>
      </c>
      <c r="AS32" s="284">
        <v>517.28</v>
      </c>
      <c r="AT32" s="284">
        <v>517.28</v>
      </c>
      <c r="AU32" s="284">
        <v>517.28</v>
      </c>
      <c r="AV32" s="284">
        <v>517.28</v>
      </c>
      <c r="AW32" s="284">
        <v>517.28</v>
      </c>
      <c r="AX32" s="284">
        <v>517.28</v>
      </c>
      <c r="AY32" s="284">
        <v>517.28</v>
      </c>
      <c r="AZ32" s="284">
        <v>517.28</v>
      </c>
      <c r="BA32" s="284">
        <v>517.28</v>
      </c>
      <c r="BC32" s="120"/>
      <c r="BD32" s="121" t="s">
        <v>371</v>
      </c>
    </row>
    <row r="33" spans="1:56" x14ac:dyDescent="0.2">
      <c r="B33" s="282" t="s">
        <v>372</v>
      </c>
      <c r="C33" s="282"/>
      <c r="D33" s="287">
        <f>D8</f>
        <v>1360230906.1668487</v>
      </c>
      <c r="E33" s="284">
        <f t="shared" ref="E33:BA33" si="52">E31*E32*1000</f>
        <v>30592433562.767273</v>
      </c>
      <c r="F33" s="284">
        <f t="shared" si="52"/>
        <v>167341690.0525049</v>
      </c>
      <c r="G33" s="284">
        <f t="shared" si="52"/>
        <v>1770227033.9968851</v>
      </c>
      <c r="H33" s="284">
        <f t="shared" si="52"/>
        <v>898720139.9167825</v>
      </c>
      <c r="I33" s="284">
        <f t="shared" si="52"/>
        <v>359488055.96671301</v>
      </c>
      <c r="J33" s="284">
        <f t="shared" si="52"/>
        <v>120428498.74884886</v>
      </c>
      <c r="K33" s="284">
        <f t="shared" si="52"/>
        <v>86238488.465994716</v>
      </c>
      <c r="L33" s="284">
        <f t="shared" si="52"/>
        <v>3653299705.4340844</v>
      </c>
      <c r="M33" s="284">
        <f t="shared" si="52"/>
        <v>1230024332.2957051</v>
      </c>
      <c r="N33" s="284">
        <f t="shared" si="52"/>
        <v>10568948.845421361</v>
      </c>
      <c r="O33" s="284">
        <f t="shared" si="52"/>
        <v>157635512.54140365</v>
      </c>
      <c r="P33" s="284">
        <f t="shared" si="52"/>
        <v>1476057957.7993236</v>
      </c>
      <c r="Q33" s="284">
        <f t="shared" si="52"/>
        <v>1006566556.7067964</v>
      </c>
      <c r="R33" s="284">
        <f t="shared" si="52"/>
        <v>718976111.93342602</v>
      </c>
      <c r="S33" s="284">
        <f t="shared" si="52"/>
        <v>151164727.53400284</v>
      </c>
      <c r="T33" s="284">
        <f t="shared" si="52"/>
        <v>281479147.82193631</v>
      </c>
      <c r="U33" s="284">
        <f t="shared" si="52"/>
        <v>2910864661.1764669</v>
      </c>
      <c r="V33" s="284">
        <f t="shared" si="52"/>
        <v>1161146420.7724829</v>
      </c>
      <c r="W33" s="284">
        <f t="shared" si="52"/>
        <v>296577646.17253822</v>
      </c>
      <c r="X33" s="284">
        <f t="shared" si="52"/>
        <v>147030614.8903856</v>
      </c>
      <c r="Y33" s="284">
        <f t="shared" si="52"/>
        <v>2013133113.4135928</v>
      </c>
      <c r="Z33" s="284">
        <f t="shared" si="52"/>
        <v>2708742501.7091823</v>
      </c>
      <c r="AA33" s="284">
        <f t="shared" si="52"/>
        <v>1774433044.2516952</v>
      </c>
      <c r="AB33" s="284">
        <f t="shared" si="52"/>
        <v>870680071.55137897</v>
      </c>
      <c r="AC33" s="284">
        <f t="shared" si="52"/>
        <v>206166400.09690991</v>
      </c>
      <c r="AD33" s="284">
        <f t="shared" si="52"/>
        <v>523144993.44555908</v>
      </c>
      <c r="AE33" s="284">
        <f t="shared" si="52"/>
        <v>87598252.037688792</v>
      </c>
      <c r="AF33" s="284">
        <f t="shared" si="52"/>
        <v>39543686.156338431</v>
      </c>
      <c r="AG33" s="284">
        <f t="shared" si="52"/>
        <v>269616041.97503471</v>
      </c>
      <c r="AH33" s="284">
        <f t="shared" si="52"/>
        <v>129415700.14801668</v>
      </c>
      <c r="AI33" s="284">
        <f t="shared" si="52"/>
        <v>460504199.69335932</v>
      </c>
      <c r="AJ33" s="284">
        <f t="shared" si="52"/>
        <v>1993271398.3214319</v>
      </c>
      <c r="AK33" s="284">
        <f t="shared" si="52"/>
        <v>885688697.88798916</v>
      </c>
      <c r="AL33" s="284">
        <f t="shared" si="52"/>
        <v>898720139.9167825</v>
      </c>
      <c r="AM33" s="284">
        <f t="shared" si="52"/>
        <v>510940373.94548917</v>
      </c>
      <c r="AN33" s="284">
        <f t="shared" si="52"/>
        <v>406580991.29835242</v>
      </c>
      <c r="AO33" s="284">
        <f t="shared" si="52"/>
        <v>202571519.53724277</v>
      </c>
      <c r="AP33" s="284">
        <f t="shared" si="52"/>
        <v>18457914.23361088</v>
      </c>
      <c r="AQ33" s="284">
        <f t="shared" si="52"/>
        <v>1152878195.4852486</v>
      </c>
      <c r="AR33" s="284">
        <f t="shared" si="52"/>
        <v>491617890.93727833</v>
      </c>
      <c r="AS33" s="284">
        <f t="shared" si="52"/>
        <v>348164182.20376152</v>
      </c>
      <c r="AT33" s="284">
        <f t="shared" si="52"/>
        <v>2875850524.5253096</v>
      </c>
      <c r="AU33" s="284">
        <f t="shared" si="52"/>
        <v>144154710.4426519</v>
      </c>
      <c r="AV33" s="284">
        <f t="shared" si="52"/>
        <v>61292713.542324565</v>
      </c>
      <c r="AW33" s="284">
        <f t="shared" si="52"/>
        <v>332346707.74122614</v>
      </c>
      <c r="AX33" s="284">
        <f t="shared" si="52"/>
        <v>242654437.77753127</v>
      </c>
      <c r="AY33" s="284">
        <f t="shared" si="52"/>
        <v>24085699.74976977</v>
      </c>
      <c r="AZ33" s="284">
        <f t="shared" si="52"/>
        <v>1761491474.2368937</v>
      </c>
      <c r="BA33" s="284">
        <f t="shared" si="52"/>
        <v>359488055.96671301</v>
      </c>
      <c r="BC33" s="120"/>
      <c r="BD33" s="143" t="s">
        <v>373</v>
      </c>
    </row>
    <row r="34" spans="1:56" ht="21.75" customHeight="1" x14ac:dyDescent="0.2">
      <c r="B34" s="282" t="s">
        <v>374</v>
      </c>
      <c r="C34" s="282"/>
      <c r="D34" s="287">
        <f>D9</f>
        <v>3644.5</v>
      </c>
      <c r="E34" s="284">
        <v>174683.9</v>
      </c>
      <c r="F34" s="284">
        <v>30.2</v>
      </c>
      <c r="G34" s="284">
        <v>3063.5</v>
      </c>
      <c r="H34" s="284">
        <v>1439.7</v>
      </c>
      <c r="I34" s="284">
        <v>634.20000000000005</v>
      </c>
      <c r="J34" s="284">
        <v>368.3</v>
      </c>
      <c r="K34" s="284">
        <v>263.8</v>
      </c>
      <c r="L34" s="284">
        <v>8792.2000000000007</v>
      </c>
      <c r="M34" s="284">
        <v>6510.7</v>
      </c>
      <c r="N34" s="284">
        <v>62.6</v>
      </c>
      <c r="O34" s="284">
        <v>680.4</v>
      </c>
      <c r="P34" s="284">
        <v>1175.9000000000001</v>
      </c>
      <c r="Q34" s="284">
        <v>725</v>
      </c>
      <c r="R34" s="284">
        <v>918.5</v>
      </c>
      <c r="S34" s="284">
        <v>825.5</v>
      </c>
      <c r="T34" s="284">
        <v>434.9</v>
      </c>
      <c r="U34" s="284">
        <v>10094.299999999999</v>
      </c>
      <c r="V34" s="284">
        <v>5392.5</v>
      </c>
      <c r="W34" s="284">
        <v>920.6</v>
      </c>
      <c r="X34" s="284">
        <v>538.9</v>
      </c>
      <c r="Y34" s="284">
        <v>5929.9</v>
      </c>
      <c r="Z34" s="284">
        <v>10790.4</v>
      </c>
      <c r="AA34" s="284">
        <v>4780.6000000000004</v>
      </c>
      <c r="AB34" s="284">
        <v>991.2</v>
      </c>
      <c r="AC34" s="284">
        <v>1241.4000000000001</v>
      </c>
      <c r="AD34" s="284">
        <v>1283.9000000000001</v>
      </c>
      <c r="AE34" s="284">
        <v>453.3</v>
      </c>
      <c r="AF34" s="284">
        <v>496.2</v>
      </c>
      <c r="AG34" s="284">
        <v>793.1</v>
      </c>
      <c r="AH34" s="284">
        <v>57.8</v>
      </c>
      <c r="AI34" s="284">
        <v>3404.3</v>
      </c>
      <c r="AJ34" s="284">
        <v>4692.3</v>
      </c>
      <c r="AK34" s="284">
        <v>3564.5</v>
      </c>
      <c r="AL34" s="284">
        <v>885.2</v>
      </c>
      <c r="AM34" s="284">
        <v>414.8</v>
      </c>
      <c r="AN34" s="284">
        <v>1420.7</v>
      </c>
      <c r="AO34" s="284">
        <v>931.2</v>
      </c>
      <c r="AP34" s="284">
        <v>96</v>
      </c>
      <c r="AQ34" s="284">
        <v>3696.5</v>
      </c>
      <c r="AR34" s="284">
        <v>2198.3000000000002</v>
      </c>
      <c r="AS34" s="284">
        <v>626.1</v>
      </c>
      <c r="AT34" s="284">
        <v>5473.8</v>
      </c>
      <c r="AU34" s="284">
        <v>1082.2</v>
      </c>
      <c r="AV34" s="284">
        <v>559.4</v>
      </c>
      <c r="AW34" s="284">
        <v>1532.8</v>
      </c>
      <c r="AX34" s="284">
        <v>989.3</v>
      </c>
      <c r="AY34" s="284">
        <v>94.9</v>
      </c>
      <c r="AZ34" s="284">
        <v>5565.9</v>
      </c>
      <c r="BA34" s="284">
        <v>780.3</v>
      </c>
      <c r="BB34" s="119">
        <f>SUM(D34:BA34)</f>
        <v>286026.39999999997</v>
      </c>
      <c r="BC34" s="120"/>
      <c r="BD34" s="145" t="s">
        <v>375</v>
      </c>
    </row>
    <row r="35" spans="1:56" ht="18.75" customHeight="1" x14ac:dyDescent="0.2">
      <c r="B35" s="282" t="s">
        <v>376</v>
      </c>
      <c r="C35" s="282"/>
      <c r="D35" s="289">
        <f>D10</f>
        <v>0.17583726537130842</v>
      </c>
      <c r="E35" s="284">
        <f>(E34/286026.65)*13.8</f>
        <v>8.4280182283713767</v>
      </c>
      <c r="F35" s="284">
        <f t="shared" ref="F35:BA35" si="53">(F34/286026.65)*13.8</f>
        <v>1.4570670250481903E-3</v>
      </c>
      <c r="G35" s="284">
        <f t="shared" si="53"/>
        <v>0.14780545798791825</v>
      </c>
      <c r="H35" s="284">
        <f t="shared" si="53"/>
        <v>6.9461569402711254E-2</v>
      </c>
      <c r="I35" s="284">
        <f t="shared" si="53"/>
        <v>3.0598407526011999E-2</v>
      </c>
      <c r="J35" s="284">
        <f t="shared" si="53"/>
        <v>1.776946309024002E-2</v>
      </c>
      <c r="K35" s="284">
        <f t="shared" si="53"/>
        <v>1.27276252055534E-2</v>
      </c>
      <c r="L35" s="284">
        <f t="shared" si="53"/>
        <v>0.42419949329896361</v>
      </c>
      <c r="M35" s="284">
        <f t="shared" si="53"/>
        <v>0.31412338675434609</v>
      </c>
      <c r="N35" s="284">
        <f t="shared" si="53"/>
        <v>3.0202780055634676E-3</v>
      </c>
      <c r="O35" s="284">
        <f t="shared" si="53"/>
        <v>3.2827430590820814E-2</v>
      </c>
      <c r="P35" s="284">
        <f t="shared" si="53"/>
        <v>5.6733944197157861E-2</v>
      </c>
      <c r="Q35" s="284">
        <f t="shared" si="53"/>
        <v>3.4979258051653576E-2</v>
      </c>
      <c r="R35" s="284">
        <f t="shared" si="53"/>
        <v>4.4315101407508703E-2</v>
      </c>
      <c r="S35" s="284">
        <f t="shared" si="53"/>
        <v>3.9828106926400035E-2</v>
      </c>
      <c r="T35" s="284">
        <f t="shared" si="53"/>
        <v>2.0982730105743641E-2</v>
      </c>
      <c r="U35" s="284">
        <f t="shared" si="53"/>
        <v>0.48702224075973338</v>
      </c>
      <c r="V35" s="284">
        <f t="shared" si="53"/>
        <v>0.26017330902557506</v>
      </c>
      <c r="W35" s="284">
        <f t="shared" si="53"/>
        <v>4.4416420637727286E-2</v>
      </c>
      <c r="X35" s="284">
        <f t="shared" si="53"/>
        <v>2.600044436418774E-2</v>
      </c>
      <c r="Y35" s="284">
        <f t="shared" si="53"/>
        <v>0.28610138251103523</v>
      </c>
      <c r="Z35" s="284">
        <f t="shared" si="53"/>
        <v>0.5206071532145693</v>
      </c>
      <c r="AA35" s="284">
        <f t="shared" si="53"/>
        <v>0.23065081522997946</v>
      </c>
      <c r="AB35" s="284">
        <f t="shared" si="53"/>
        <v>4.7822676663171075E-2</v>
      </c>
      <c r="AC35" s="284">
        <f t="shared" si="53"/>
        <v>5.9894139234927937E-2</v>
      </c>
      <c r="AD35" s="284">
        <f t="shared" si="53"/>
        <v>6.1944647465542117E-2</v>
      </c>
      <c r="AE35" s="284">
        <f t="shared" si="53"/>
        <v>2.1870479551468369E-2</v>
      </c>
      <c r="AF35" s="284">
        <f t="shared" si="53"/>
        <v>2.3940286683076559E-2</v>
      </c>
      <c r="AG35" s="284">
        <f t="shared" si="53"/>
        <v>3.826489594588476E-2</v>
      </c>
      <c r="AH35" s="284">
        <f t="shared" si="53"/>
        <v>2.7886911936352782E-3</v>
      </c>
      <c r="AI35" s="284">
        <f t="shared" si="53"/>
        <v>0.16424812163481969</v>
      </c>
      <c r="AJ35" s="284">
        <f t="shared" si="53"/>
        <v>0.22639058283555047</v>
      </c>
      <c r="AK35" s="284">
        <f t="shared" si="53"/>
        <v>0.17197733148292302</v>
      </c>
      <c r="AL35" s="284">
        <f t="shared" si="53"/>
        <v>4.2708467899756894E-2</v>
      </c>
      <c r="AM35" s="284">
        <f t="shared" si="53"/>
        <v>2.001296033079435E-2</v>
      </c>
      <c r="AN35" s="284">
        <f t="shared" si="53"/>
        <v>6.8544871605495508E-2</v>
      </c>
      <c r="AO35" s="284">
        <f t="shared" si="53"/>
        <v>4.4927841514068707E-2</v>
      </c>
      <c r="AP35" s="284">
        <f t="shared" si="53"/>
        <v>4.6317362385637842E-3</v>
      </c>
      <c r="AQ35" s="284">
        <f t="shared" si="53"/>
        <v>0.17834596881094822</v>
      </c>
      <c r="AR35" s="284">
        <f t="shared" si="53"/>
        <v>0.10606193513786215</v>
      </c>
      <c r="AS35" s="284">
        <f t="shared" si="53"/>
        <v>3.020760478088318E-2</v>
      </c>
      <c r="AT35" s="284">
        <f t="shared" si="53"/>
        <v>0.26409581065260879</v>
      </c>
      <c r="AU35" s="284">
        <f t="shared" si="53"/>
        <v>5.2213176639309654E-2</v>
      </c>
      <c r="AV35" s="284">
        <f t="shared" si="53"/>
        <v>2.6989513040131047E-2</v>
      </c>
      <c r="AW35" s="284">
        <f t="shared" si="53"/>
        <v>7.3953388609068416E-2</v>
      </c>
      <c r="AX35" s="284">
        <f t="shared" si="53"/>
        <v>4.7731006883449494E-2</v>
      </c>
      <c r="AY35" s="284">
        <f t="shared" si="53"/>
        <v>4.5786642608302407E-3</v>
      </c>
      <c r="AZ35" s="284">
        <f t="shared" si="53"/>
        <v>0.26853938260648086</v>
      </c>
      <c r="BA35" s="284">
        <f t="shared" si="53"/>
        <v>3.7647331114076255E-2</v>
      </c>
      <c r="BB35" s="119">
        <v>13.8</v>
      </c>
      <c r="BC35" s="120"/>
      <c r="BD35" s="145" t="s">
        <v>377</v>
      </c>
    </row>
    <row r="36" spans="1:56" ht="18.75" customHeight="1" x14ac:dyDescent="0.2">
      <c r="B36" s="282" t="s">
        <v>378</v>
      </c>
      <c r="C36" s="282"/>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C36" s="120"/>
      <c r="BD36" s="145" t="s">
        <v>379</v>
      </c>
    </row>
    <row r="37" spans="1:56" ht="18.75" customHeight="1" x14ac:dyDescent="0.2">
      <c r="B37" s="282" t="s">
        <v>380</v>
      </c>
      <c r="C37" s="282"/>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C37" s="120"/>
      <c r="BD37" s="145" t="s">
        <v>379</v>
      </c>
    </row>
    <row r="38" spans="1:56" x14ac:dyDescent="0.2">
      <c r="B38" s="282" t="s">
        <v>534</v>
      </c>
      <c r="C38" s="282"/>
      <c r="D38" s="283">
        <f t="shared" ref="D38:K38" si="54">D34-D35</f>
        <v>3644.3241627346288</v>
      </c>
      <c r="E38" s="284">
        <f t="shared" si="54"/>
        <v>174675.47198177161</v>
      </c>
      <c r="F38" s="284">
        <f t="shared" si="54"/>
        <v>30.198542932974952</v>
      </c>
      <c r="G38" s="284">
        <f t="shared" si="54"/>
        <v>3063.3521945420121</v>
      </c>
      <c r="H38" s="284">
        <f t="shared" si="54"/>
        <v>1439.6305384305974</v>
      </c>
      <c r="I38" s="284">
        <f t="shared" si="54"/>
        <v>634.16940159247406</v>
      </c>
      <c r="J38" s="284">
        <f t="shared" si="54"/>
        <v>368.28223053690976</v>
      </c>
      <c r="K38" s="284">
        <f t="shared" si="54"/>
        <v>263.78727237479444</v>
      </c>
      <c r="L38" s="284">
        <f t="shared" ref="L38:BB38" si="55">L34-L35</f>
        <v>8791.7758005067026</v>
      </c>
      <c r="M38" s="284">
        <f t="shared" si="55"/>
        <v>6510.3858766132453</v>
      </c>
      <c r="N38" s="284">
        <f t="shared" si="55"/>
        <v>62.596979721994437</v>
      </c>
      <c r="O38" s="284">
        <f t="shared" si="55"/>
        <v>680.36717256940915</v>
      </c>
      <c r="P38" s="284">
        <f t="shared" si="55"/>
        <v>1175.843266055803</v>
      </c>
      <c r="Q38" s="284">
        <f t="shared" si="55"/>
        <v>724.96502074194836</v>
      </c>
      <c r="R38" s="284">
        <f t="shared" si="55"/>
        <v>918.45568489859249</v>
      </c>
      <c r="S38" s="284">
        <f t="shared" si="55"/>
        <v>825.46017189307361</v>
      </c>
      <c r="T38" s="284">
        <f t="shared" si="55"/>
        <v>434.87901726989423</v>
      </c>
      <c r="U38" s="284">
        <f t="shared" si="55"/>
        <v>10093.81297775924</v>
      </c>
      <c r="V38" s="284">
        <f t="shared" si="55"/>
        <v>5392.239826690974</v>
      </c>
      <c r="W38" s="284">
        <f t="shared" si="55"/>
        <v>920.55558357936229</v>
      </c>
      <c r="X38" s="284">
        <f t="shared" si="55"/>
        <v>538.87399955563581</v>
      </c>
      <c r="Y38" s="284">
        <f t="shared" si="55"/>
        <v>5929.6138986174883</v>
      </c>
      <c r="Z38" s="284">
        <f t="shared" si="55"/>
        <v>10789.879392846786</v>
      </c>
      <c r="AA38" s="284">
        <f t="shared" si="55"/>
        <v>4780.3693491847707</v>
      </c>
      <c r="AB38" s="284">
        <f t="shared" si="55"/>
        <v>991.1521773233369</v>
      </c>
      <c r="AC38" s="284">
        <f t="shared" si="55"/>
        <v>1241.3401058607651</v>
      </c>
      <c r="AD38" s="284">
        <f t="shared" si="55"/>
        <v>1283.8380553525346</v>
      </c>
      <c r="AE38" s="284">
        <f t="shared" si="55"/>
        <v>453.27812952044854</v>
      </c>
      <c r="AF38" s="284">
        <f t="shared" si="55"/>
        <v>496.17605971331693</v>
      </c>
      <c r="AG38" s="284">
        <f t="shared" si="55"/>
        <v>793.06173510405415</v>
      </c>
      <c r="AH38" s="284">
        <f t="shared" si="55"/>
        <v>57.797211308806361</v>
      </c>
      <c r="AI38" s="284">
        <f t="shared" si="55"/>
        <v>3404.1357518783652</v>
      </c>
      <c r="AJ38" s="284">
        <f t="shared" si="55"/>
        <v>4692.0736094171643</v>
      </c>
      <c r="AK38" s="284">
        <f t="shared" si="55"/>
        <v>3564.328022668517</v>
      </c>
      <c r="AL38" s="284">
        <f t="shared" si="55"/>
        <v>885.15729153210032</v>
      </c>
      <c r="AM38" s="284">
        <f t="shared" si="55"/>
        <v>414.77998703966921</v>
      </c>
      <c r="AN38" s="284">
        <f t="shared" si="55"/>
        <v>1420.6314551283945</v>
      </c>
      <c r="AO38" s="284">
        <f t="shared" si="55"/>
        <v>931.15507215848595</v>
      </c>
      <c r="AP38" s="284">
        <f t="shared" si="55"/>
        <v>95.995368263761435</v>
      </c>
      <c r="AQ38" s="284">
        <f t="shared" si="55"/>
        <v>3696.3216540311892</v>
      </c>
      <c r="AR38" s="284">
        <f t="shared" si="55"/>
        <v>2198.1939380648623</v>
      </c>
      <c r="AS38" s="284">
        <f t="shared" si="55"/>
        <v>626.06979239521911</v>
      </c>
      <c r="AT38" s="284">
        <f t="shared" si="55"/>
        <v>5473.535904189348</v>
      </c>
      <c r="AU38" s="284">
        <f t="shared" si="55"/>
        <v>1082.1477868233608</v>
      </c>
      <c r="AV38" s="284">
        <f t="shared" si="55"/>
        <v>559.37301048695986</v>
      </c>
      <c r="AW38" s="284">
        <f t="shared" si="55"/>
        <v>1532.726046611391</v>
      </c>
      <c r="AX38" s="284">
        <f t="shared" si="55"/>
        <v>989.25226899311656</v>
      </c>
      <c r="AY38" s="284">
        <f t="shared" si="55"/>
        <v>94.895421335739172</v>
      </c>
      <c r="AZ38" s="284">
        <f t="shared" si="55"/>
        <v>5565.6314606173928</v>
      </c>
      <c r="BA38" s="284">
        <f t="shared" si="55"/>
        <v>780.26235266888591</v>
      </c>
      <c r="BB38" s="119">
        <f t="shared" si="55"/>
        <v>286012.59999999998</v>
      </c>
      <c r="BC38" s="120"/>
      <c r="BD38" s="145" t="s">
        <v>535</v>
      </c>
    </row>
    <row r="39" spans="1:56" s="76" customFormat="1" x14ac:dyDescent="0.2">
      <c r="B39" s="282" t="s">
        <v>975</v>
      </c>
      <c r="C39" s="285"/>
      <c r="D39" s="287">
        <f>$C$12</f>
        <v>1193.93</v>
      </c>
      <c r="E39" s="287">
        <f t="shared" ref="E39:BA39" si="56">$C$12</f>
        <v>1193.93</v>
      </c>
      <c r="F39" s="287">
        <f t="shared" si="56"/>
        <v>1193.93</v>
      </c>
      <c r="G39" s="287">
        <f t="shared" si="56"/>
        <v>1193.93</v>
      </c>
      <c r="H39" s="287">
        <f t="shared" si="56"/>
        <v>1193.93</v>
      </c>
      <c r="I39" s="287">
        <f t="shared" si="56"/>
        <v>1193.93</v>
      </c>
      <c r="J39" s="287">
        <f t="shared" si="56"/>
        <v>1193.93</v>
      </c>
      <c r="K39" s="287">
        <f t="shared" si="56"/>
        <v>1193.93</v>
      </c>
      <c r="L39" s="287">
        <f t="shared" si="56"/>
        <v>1193.93</v>
      </c>
      <c r="M39" s="287">
        <f t="shared" si="56"/>
        <v>1193.93</v>
      </c>
      <c r="N39" s="287">
        <f t="shared" si="56"/>
        <v>1193.93</v>
      </c>
      <c r="O39" s="287">
        <f t="shared" si="56"/>
        <v>1193.93</v>
      </c>
      <c r="P39" s="287">
        <f t="shared" si="56"/>
        <v>1193.93</v>
      </c>
      <c r="Q39" s="287">
        <f t="shared" si="56"/>
        <v>1193.93</v>
      </c>
      <c r="R39" s="287">
        <f t="shared" si="56"/>
        <v>1193.93</v>
      </c>
      <c r="S39" s="287">
        <f t="shared" si="56"/>
        <v>1193.93</v>
      </c>
      <c r="T39" s="287">
        <f t="shared" si="56"/>
        <v>1193.93</v>
      </c>
      <c r="U39" s="287">
        <f t="shared" si="56"/>
        <v>1193.93</v>
      </c>
      <c r="V39" s="287">
        <f t="shared" si="56"/>
        <v>1193.93</v>
      </c>
      <c r="W39" s="287">
        <f t="shared" si="56"/>
        <v>1193.93</v>
      </c>
      <c r="X39" s="287">
        <f t="shared" si="56"/>
        <v>1193.93</v>
      </c>
      <c r="Y39" s="287">
        <f t="shared" si="56"/>
        <v>1193.93</v>
      </c>
      <c r="Z39" s="287">
        <f t="shared" si="56"/>
        <v>1193.93</v>
      </c>
      <c r="AA39" s="287">
        <f t="shared" si="56"/>
        <v>1193.93</v>
      </c>
      <c r="AB39" s="287">
        <f t="shared" si="56"/>
        <v>1193.93</v>
      </c>
      <c r="AC39" s="287">
        <f t="shared" si="56"/>
        <v>1193.93</v>
      </c>
      <c r="AD39" s="287">
        <f t="shared" si="56"/>
        <v>1193.93</v>
      </c>
      <c r="AE39" s="287">
        <f t="shared" si="56"/>
        <v>1193.93</v>
      </c>
      <c r="AF39" s="287">
        <f t="shared" si="56"/>
        <v>1193.93</v>
      </c>
      <c r="AG39" s="287">
        <f t="shared" si="56"/>
        <v>1193.93</v>
      </c>
      <c r="AH39" s="287">
        <f t="shared" si="56"/>
        <v>1193.93</v>
      </c>
      <c r="AI39" s="287">
        <f t="shared" si="56"/>
        <v>1193.93</v>
      </c>
      <c r="AJ39" s="287">
        <f t="shared" si="56"/>
        <v>1193.93</v>
      </c>
      <c r="AK39" s="287">
        <f t="shared" si="56"/>
        <v>1193.93</v>
      </c>
      <c r="AL39" s="287">
        <f t="shared" si="56"/>
        <v>1193.93</v>
      </c>
      <c r="AM39" s="287">
        <f t="shared" si="56"/>
        <v>1193.93</v>
      </c>
      <c r="AN39" s="287">
        <f t="shared" si="56"/>
        <v>1193.93</v>
      </c>
      <c r="AO39" s="287">
        <f t="shared" si="56"/>
        <v>1193.93</v>
      </c>
      <c r="AP39" s="287">
        <f t="shared" si="56"/>
        <v>1193.93</v>
      </c>
      <c r="AQ39" s="287">
        <f t="shared" si="56"/>
        <v>1193.93</v>
      </c>
      <c r="AR39" s="287">
        <f t="shared" si="56"/>
        <v>1193.93</v>
      </c>
      <c r="AS39" s="287">
        <f t="shared" si="56"/>
        <v>1193.93</v>
      </c>
      <c r="AT39" s="287">
        <f t="shared" si="56"/>
        <v>1193.93</v>
      </c>
      <c r="AU39" s="287">
        <f t="shared" si="56"/>
        <v>1193.93</v>
      </c>
      <c r="AV39" s="287">
        <f t="shared" si="56"/>
        <v>1193.93</v>
      </c>
      <c r="AW39" s="287">
        <f t="shared" si="56"/>
        <v>1193.93</v>
      </c>
      <c r="AX39" s="287">
        <f t="shared" si="56"/>
        <v>1193.93</v>
      </c>
      <c r="AY39" s="287">
        <f t="shared" si="56"/>
        <v>1193.93</v>
      </c>
      <c r="AZ39" s="287">
        <f t="shared" si="56"/>
        <v>1193.93</v>
      </c>
      <c r="BA39" s="287">
        <f t="shared" si="56"/>
        <v>1193.93</v>
      </c>
      <c r="BB39" s="144"/>
      <c r="BD39" s="143" t="s">
        <v>536</v>
      </c>
    </row>
    <row r="40" spans="1:56" s="76" customFormat="1" x14ac:dyDescent="0.2">
      <c r="B40" s="285" t="s">
        <v>537</v>
      </c>
      <c r="C40" s="285"/>
      <c r="D40" s="287">
        <f>D15</f>
        <v>3923.2758372653716</v>
      </c>
      <c r="E40" s="288">
        <f t="shared" ref="E40:BA40" si="57">E30-E38</f>
        <v>-4475.4719817716104</v>
      </c>
      <c r="F40" s="288">
        <f t="shared" si="57"/>
        <v>900.80145706702501</v>
      </c>
      <c r="G40" s="288">
        <f t="shared" si="57"/>
        <v>6785.2478054579879</v>
      </c>
      <c r="H40" s="288">
        <f t="shared" si="57"/>
        <v>3560.3694615694026</v>
      </c>
      <c r="I40" s="288">
        <f t="shared" si="57"/>
        <v>1365.8305984075259</v>
      </c>
      <c r="J40" s="288">
        <f t="shared" si="57"/>
        <v>301.71776946309024</v>
      </c>
      <c r="K40" s="288">
        <f t="shared" si="57"/>
        <v>215.99772762520558</v>
      </c>
      <c r="L40" s="288">
        <f t="shared" si="57"/>
        <v>11533.237199493296</v>
      </c>
      <c r="M40" s="288">
        <f t="shared" si="57"/>
        <v>332.81412338675455</v>
      </c>
      <c r="N40" s="288">
        <f t="shared" si="57"/>
        <v>-3.7969797219944397</v>
      </c>
      <c r="O40" s="288">
        <f t="shared" si="57"/>
        <v>196.63282743059085</v>
      </c>
      <c r="P40" s="288">
        <f t="shared" si="57"/>
        <v>7036.1567339441972</v>
      </c>
      <c r="Q40" s="288">
        <f t="shared" si="57"/>
        <v>4875.0349792580519</v>
      </c>
      <c r="R40" s="288">
        <f t="shared" si="57"/>
        <v>3081.5443151014074</v>
      </c>
      <c r="S40" s="288">
        <f t="shared" si="57"/>
        <v>15.539828106926393</v>
      </c>
      <c r="T40" s="288">
        <f t="shared" si="57"/>
        <v>1131.1209827301059</v>
      </c>
      <c r="U40" s="288">
        <f t="shared" si="57"/>
        <v>6100.6870222407597</v>
      </c>
      <c r="V40" s="288">
        <f t="shared" si="57"/>
        <v>1067.760173309026</v>
      </c>
      <c r="W40" s="288">
        <f t="shared" si="57"/>
        <v>729.44441642063771</v>
      </c>
      <c r="X40" s="288">
        <f t="shared" si="57"/>
        <v>279.12600044436419</v>
      </c>
      <c r="Y40" s="288">
        <f t="shared" si="57"/>
        <v>5270.3861013825117</v>
      </c>
      <c r="Z40" s="288">
        <f t="shared" si="57"/>
        <v>4280.1206071532142</v>
      </c>
      <c r="AA40" s="288">
        <f t="shared" si="57"/>
        <v>5091.6306508152293</v>
      </c>
      <c r="AB40" s="288">
        <f t="shared" si="57"/>
        <v>3852.8478226766629</v>
      </c>
      <c r="AC40" s="288">
        <f t="shared" si="57"/>
        <v>-94.340105860765107</v>
      </c>
      <c r="AD40" s="288">
        <f t="shared" si="57"/>
        <v>1626.6619446474654</v>
      </c>
      <c r="AE40" s="288">
        <f t="shared" si="57"/>
        <v>34.071870479551478</v>
      </c>
      <c r="AF40" s="288">
        <f t="shared" si="57"/>
        <v>-276.17605971331693</v>
      </c>
      <c r="AG40" s="288">
        <f t="shared" si="57"/>
        <v>706.93826489594585</v>
      </c>
      <c r="AH40" s="288">
        <f t="shared" si="57"/>
        <v>662.20278869119363</v>
      </c>
      <c r="AI40" s="288">
        <f t="shared" si="57"/>
        <v>-842.13575187836523</v>
      </c>
      <c r="AJ40" s="288">
        <f t="shared" si="57"/>
        <v>6397.4263905828357</v>
      </c>
      <c r="AK40" s="288">
        <f t="shared" si="57"/>
        <v>1363.171977331483</v>
      </c>
      <c r="AL40" s="288">
        <f t="shared" si="57"/>
        <v>4114.8427084678997</v>
      </c>
      <c r="AM40" s="288">
        <f t="shared" si="57"/>
        <v>2427.8200129603306</v>
      </c>
      <c r="AN40" s="288">
        <f t="shared" si="57"/>
        <v>841.36854487160554</v>
      </c>
      <c r="AO40" s="288">
        <f t="shared" si="57"/>
        <v>195.84492784151405</v>
      </c>
      <c r="AP40" s="288">
        <f t="shared" si="57"/>
        <v>6.6946317362385628</v>
      </c>
      <c r="AQ40" s="288">
        <f t="shared" si="57"/>
        <v>2717.6783459688108</v>
      </c>
      <c r="AR40" s="288">
        <f t="shared" si="57"/>
        <v>536.90606193513759</v>
      </c>
      <c r="AS40" s="288">
        <f t="shared" si="57"/>
        <v>1310.9302076047809</v>
      </c>
      <c r="AT40" s="288">
        <f t="shared" si="57"/>
        <v>10526.164095810653</v>
      </c>
      <c r="AU40" s="288">
        <f t="shared" si="57"/>
        <v>-280.14778682336078</v>
      </c>
      <c r="AV40" s="288">
        <f t="shared" si="57"/>
        <v>-218.37301048695986</v>
      </c>
      <c r="AW40" s="288">
        <f t="shared" si="57"/>
        <v>316.27395338860902</v>
      </c>
      <c r="AX40" s="288">
        <f t="shared" si="57"/>
        <v>360.74773100688344</v>
      </c>
      <c r="AY40" s="288">
        <f t="shared" si="57"/>
        <v>39.104578664260828</v>
      </c>
      <c r="AZ40" s="288">
        <f t="shared" si="57"/>
        <v>4234.3685393826072</v>
      </c>
      <c r="BA40" s="288">
        <f t="shared" si="57"/>
        <v>1219.7376473311142</v>
      </c>
      <c r="BB40" s="144"/>
      <c r="BD40" s="143" t="s">
        <v>538</v>
      </c>
    </row>
    <row r="41" spans="1:56" x14ac:dyDescent="0.2">
      <c r="B41" s="285" t="s">
        <v>381</v>
      </c>
      <c r="C41" s="285"/>
      <c r="D41" s="287">
        <f>D13</f>
        <v>1293.6924275707211</v>
      </c>
      <c r="E41" s="288">
        <f t="shared" ref="E41:BA41" si="58">E40-E31</f>
        <v>-63616.42767842966</v>
      </c>
      <c r="F41" s="288">
        <f t="shared" si="58"/>
        <v>577.29834453125159</v>
      </c>
      <c r="G41" s="288">
        <f t="shared" si="58"/>
        <v>3363.0643960919097</v>
      </c>
      <c r="H41" s="288">
        <f t="shared" si="58"/>
        <v>1822.9735832892013</v>
      </c>
      <c r="I41" s="288">
        <f t="shared" si="58"/>
        <v>670.87224709544546</v>
      </c>
      <c r="J41" s="288">
        <f t="shared" si="58"/>
        <v>68.906721773543268</v>
      </c>
      <c r="K41" s="288">
        <f t="shared" si="58"/>
        <v>49.282431333072282</v>
      </c>
      <c r="L41" s="288">
        <f t="shared" si="58"/>
        <v>4470.7184370549949</v>
      </c>
      <c r="M41" s="288">
        <f t="shared" si="58"/>
        <v>-2045.0553714626599</v>
      </c>
      <c r="N41" s="288">
        <f t="shared" si="58"/>
        <v>-24.228755250569606</v>
      </c>
      <c r="O41" s="288">
        <f t="shared" si="58"/>
        <v>-108.10640961975645</v>
      </c>
      <c r="P41" s="288">
        <f t="shared" si="58"/>
        <v>4182.6577434567944</v>
      </c>
      <c r="Q41" s="288">
        <f t="shared" si="58"/>
        <v>2929.1515955842265</v>
      </c>
      <c r="R41" s="288">
        <f t="shared" si="58"/>
        <v>1691.6276124772464</v>
      </c>
      <c r="S41" s="288">
        <f t="shared" si="58"/>
        <v>-276.69015861980347</v>
      </c>
      <c r="T41" s="288">
        <f t="shared" si="58"/>
        <v>586.96859365274679</v>
      </c>
      <c r="U41" s="288">
        <f t="shared" si="58"/>
        <v>473.43551207901601</v>
      </c>
      <c r="V41" s="288">
        <f t="shared" si="58"/>
        <v>-1176.9553014289941</v>
      </c>
      <c r="W41" s="288">
        <f t="shared" si="58"/>
        <v>156.10377658817129</v>
      </c>
      <c r="X41" s="288">
        <f t="shared" si="58"/>
        <v>-5.1119652422767103</v>
      </c>
      <c r="Y41" s="288">
        <f t="shared" si="58"/>
        <v>1378.6193340348609</v>
      </c>
      <c r="Z41" s="288">
        <f t="shared" si="58"/>
        <v>-956.39056998331216</v>
      </c>
      <c r="AA41" s="288">
        <f t="shared" si="58"/>
        <v>1661.3162287388</v>
      </c>
      <c r="AB41" s="288">
        <f t="shared" si="58"/>
        <v>2169.6586957988038</v>
      </c>
      <c r="AC41" s="288">
        <f t="shared" si="58"/>
        <v>-492.89872033824327</v>
      </c>
      <c r="AD41" s="288">
        <f t="shared" si="58"/>
        <v>615.32380390056016</v>
      </c>
      <c r="AE41" s="288">
        <f t="shared" si="58"/>
        <v>-135.27210577641975</v>
      </c>
      <c r="AF41" s="288">
        <f t="shared" si="58"/>
        <v>-352.6214783576458</v>
      </c>
      <c r="AG41" s="288">
        <f t="shared" si="58"/>
        <v>185.71950141188552</v>
      </c>
      <c r="AH41" s="288">
        <f t="shared" si="58"/>
        <v>412.01778221884467</v>
      </c>
      <c r="AI41" s="288">
        <f t="shared" si="58"/>
        <v>-1732.3773999091404</v>
      </c>
      <c r="AJ41" s="288">
        <f t="shared" si="58"/>
        <v>2544.0560721451775</v>
      </c>
      <c r="AK41" s="288">
        <f t="shared" si="58"/>
        <v>-349.03166071365536</v>
      </c>
      <c r="AL41" s="288">
        <f t="shared" si="58"/>
        <v>2377.4468301876987</v>
      </c>
      <c r="AM41" s="288">
        <f t="shared" si="58"/>
        <v>1440.0757082404707</v>
      </c>
      <c r="AN41" s="288">
        <f t="shared" si="58"/>
        <v>55.370649537642407</v>
      </c>
      <c r="AO41" s="288">
        <f t="shared" si="58"/>
        <v>-195.76410312284332</v>
      </c>
      <c r="AP41" s="288">
        <f t="shared" si="58"/>
        <v>-28.988004811880209</v>
      </c>
      <c r="AQ41" s="288">
        <f t="shared" si="58"/>
        <v>488.94691331096874</v>
      </c>
      <c r="AR41" s="288">
        <f t="shared" si="58"/>
        <v>-413.48423140169814</v>
      </c>
      <c r="AS41" s="288">
        <f t="shared" si="58"/>
        <v>637.86304435903094</v>
      </c>
      <c r="AT41" s="288">
        <f t="shared" si="58"/>
        <v>4966.6015290667046</v>
      </c>
      <c r="AU41" s="288">
        <f t="shared" si="58"/>
        <v>-558.82608569950503</v>
      </c>
      <c r="AV41" s="288">
        <f t="shared" si="58"/>
        <v>-336.86340938566957</v>
      </c>
      <c r="AW41" s="288">
        <f t="shared" si="58"/>
        <v>-326.21504239940941</v>
      </c>
      <c r="AX41" s="288">
        <f t="shared" si="58"/>
        <v>-108.34915612877091</v>
      </c>
      <c r="AY41" s="288">
        <f t="shared" si="58"/>
        <v>-7.4576308736485686</v>
      </c>
      <c r="AZ41" s="288">
        <f t="shared" si="58"/>
        <v>829.07261795341265</v>
      </c>
      <c r="BA41" s="288">
        <f t="shared" si="58"/>
        <v>524.77929601903372</v>
      </c>
      <c r="BC41" s="120"/>
      <c r="BD41" s="143" t="s">
        <v>382</v>
      </c>
    </row>
    <row r="42" spans="1:56" x14ac:dyDescent="0.15">
      <c r="B42" s="290" t="s">
        <v>383</v>
      </c>
      <c r="C42" s="290"/>
      <c r="D42" s="291">
        <f>D41*D39</f>
        <v>1544578.2000495112</v>
      </c>
      <c r="E42" s="292">
        <f t="shared" ref="E42:BA42" si="59">E41*E39</f>
        <v>-75953561.498107523</v>
      </c>
      <c r="F42" s="292">
        <f t="shared" si="59"/>
        <v>689253.81248619722</v>
      </c>
      <c r="G42" s="292">
        <f t="shared" si="59"/>
        <v>4015263.4744260139</v>
      </c>
      <c r="H42" s="292">
        <f t="shared" si="59"/>
        <v>2176502.8502964764</v>
      </c>
      <c r="I42" s="292">
        <f t="shared" si="59"/>
        <v>800974.50197466521</v>
      </c>
      <c r="J42" s="292">
        <f t="shared" si="59"/>
        <v>82269.802327086523</v>
      </c>
      <c r="K42" s="292">
        <f t="shared" si="59"/>
        <v>58839.773241494993</v>
      </c>
      <c r="L42" s="292">
        <f t="shared" si="59"/>
        <v>5337724.8635530705</v>
      </c>
      <c r="M42" s="292">
        <f t="shared" si="59"/>
        <v>-2441652.9596504136</v>
      </c>
      <c r="N42" s="292">
        <f t="shared" si="59"/>
        <v>-28927.437756312571</v>
      </c>
      <c r="O42" s="292">
        <f t="shared" si="59"/>
        <v>-129071.48563731583</v>
      </c>
      <c r="P42" s="292">
        <f t="shared" si="59"/>
        <v>4993800.5596453706</v>
      </c>
      <c r="Q42" s="292">
        <f t="shared" si="59"/>
        <v>3497201.9645158756</v>
      </c>
      <c r="R42" s="292">
        <f t="shared" si="59"/>
        <v>2019684.9553649588</v>
      </c>
      <c r="S42" s="292">
        <f t="shared" si="59"/>
        <v>-330348.68108094198</v>
      </c>
      <c r="T42" s="292">
        <f t="shared" si="59"/>
        <v>700799.41301982396</v>
      </c>
      <c r="U42" s="292">
        <f t="shared" si="59"/>
        <v>565248.86093649967</v>
      </c>
      <c r="V42" s="292">
        <f t="shared" si="59"/>
        <v>-1405202.243035119</v>
      </c>
      <c r="W42" s="292">
        <f t="shared" si="59"/>
        <v>186376.98198191536</v>
      </c>
      <c r="X42" s="292">
        <f t="shared" si="59"/>
        <v>-6103.3286617114327</v>
      </c>
      <c r="Y42" s="292">
        <f t="shared" si="59"/>
        <v>1645974.9814842416</v>
      </c>
      <c r="Z42" s="292">
        <f t="shared" si="59"/>
        <v>-1141863.393220176</v>
      </c>
      <c r="AA42" s="292">
        <f t="shared" si="59"/>
        <v>1983495.2849781155</v>
      </c>
      <c r="AB42" s="292">
        <f t="shared" si="59"/>
        <v>2590420.6066750661</v>
      </c>
      <c r="AC42" s="292">
        <f t="shared" si="59"/>
        <v>-588486.56917343882</v>
      </c>
      <c r="AD42" s="292">
        <f t="shared" si="59"/>
        <v>734653.54919099587</v>
      </c>
      <c r="AE42" s="292">
        <f t="shared" si="59"/>
        <v>-161505.42524964083</v>
      </c>
      <c r="AF42" s="292">
        <f t="shared" si="59"/>
        <v>-421005.36165554408</v>
      </c>
      <c r="AG42" s="292">
        <f t="shared" si="59"/>
        <v>221736.08432069249</v>
      </c>
      <c r="AH42" s="292">
        <f t="shared" si="59"/>
        <v>491920.39072454523</v>
      </c>
      <c r="AI42" s="292">
        <f t="shared" si="59"/>
        <v>-2068337.3490735202</v>
      </c>
      <c r="AJ42" s="292">
        <f t="shared" si="59"/>
        <v>3037424.8662162921</v>
      </c>
      <c r="AK42" s="292">
        <f t="shared" si="59"/>
        <v>-416719.37067585456</v>
      </c>
      <c r="AL42" s="292">
        <f t="shared" si="59"/>
        <v>2838505.0939659993</v>
      </c>
      <c r="AM42" s="292">
        <f t="shared" si="59"/>
        <v>1719349.5903395454</v>
      </c>
      <c r="AN42" s="292">
        <f t="shared" si="59"/>
        <v>66108.679602477408</v>
      </c>
      <c r="AO42" s="292">
        <f t="shared" si="59"/>
        <v>-233728.63564145635</v>
      </c>
      <c r="AP42" s="292">
        <f t="shared" si="59"/>
        <v>-34609.64858504814</v>
      </c>
      <c r="AQ42" s="292">
        <f t="shared" si="59"/>
        <v>583768.38820936496</v>
      </c>
      <c r="AR42" s="292">
        <f t="shared" si="59"/>
        <v>-493671.22839742951</v>
      </c>
      <c r="AS42" s="292">
        <f t="shared" si="59"/>
        <v>761563.8245515778</v>
      </c>
      <c r="AT42" s="292">
        <f t="shared" si="59"/>
        <v>5929774.5635986114</v>
      </c>
      <c r="AU42" s="292">
        <f t="shared" si="59"/>
        <v>-667199.22849921009</v>
      </c>
      <c r="AV42" s="292">
        <f t="shared" si="59"/>
        <v>-402191.3303678325</v>
      </c>
      <c r="AW42" s="292">
        <f t="shared" si="59"/>
        <v>-389477.92557192693</v>
      </c>
      <c r="AX42" s="292">
        <f t="shared" si="59"/>
        <v>-129361.30797682346</v>
      </c>
      <c r="AY42" s="292">
        <f t="shared" si="59"/>
        <v>-8903.8892289752366</v>
      </c>
      <c r="AZ42" s="292">
        <f t="shared" si="59"/>
        <v>989854.670753118</v>
      </c>
      <c r="BA42" s="292">
        <f t="shared" si="59"/>
        <v>626549.74489600491</v>
      </c>
      <c r="BD42" s="111" t="s">
        <v>384</v>
      </c>
    </row>
    <row r="43" spans="1:56" s="149" customFormat="1" x14ac:dyDescent="0.2">
      <c r="B43" s="293" t="s">
        <v>385</v>
      </c>
      <c r="C43" s="293"/>
      <c r="D43" s="294">
        <f>D42+D33</f>
        <v>1361775484.3668981</v>
      </c>
      <c r="E43" s="294">
        <f t="shared" ref="E43:BA43" si="60">E42+E33</f>
        <v>30516480001.269165</v>
      </c>
      <c r="F43" s="294">
        <f t="shared" si="60"/>
        <v>168030943.8649911</v>
      </c>
      <c r="G43" s="294">
        <f t="shared" si="60"/>
        <v>1774242297.4713111</v>
      </c>
      <c r="H43" s="294">
        <f t="shared" si="60"/>
        <v>900896642.767079</v>
      </c>
      <c r="I43" s="294">
        <f t="shared" si="60"/>
        <v>360289030.46868765</v>
      </c>
      <c r="J43" s="294">
        <f t="shared" si="60"/>
        <v>120510768.55117594</v>
      </c>
      <c r="K43" s="294">
        <f t="shared" si="60"/>
        <v>86297328.239236206</v>
      </c>
      <c r="L43" s="294">
        <f t="shared" si="60"/>
        <v>3658637430.2976375</v>
      </c>
      <c r="M43" s="294">
        <f t="shared" si="60"/>
        <v>1227582679.3360546</v>
      </c>
      <c r="N43" s="294">
        <f t="shared" si="60"/>
        <v>10540021.407665048</v>
      </c>
      <c r="O43" s="294">
        <f t="shared" si="60"/>
        <v>157506441.05576634</v>
      </c>
      <c r="P43" s="294">
        <f t="shared" si="60"/>
        <v>1481051758.358969</v>
      </c>
      <c r="Q43" s="294">
        <f t="shared" si="60"/>
        <v>1010063758.6713123</v>
      </c>
      <c r="R43" s="294">
        <f t="shared" si="60"/>
        <v>720995796.88879097</v>
      </c>
      <c r="S43" s="294">
        <f t="shared" si="60"/>
        <v>150834378.8529219</v>
      </c>
      <c r="T43" s="294">
        <f t="shared" si="60"/>
        <v>282179947.23495615</v>
      </c>
      <c r="U43" s="294">
        <f t="shared" si="60"/>
        <v>2911429910.0374036</v>
      </c>
      <c r="V43" s="294">
        <f t="shared" si="60"/>
        <v>1159741218.5294478</v>
      </c>
      <c r="W43" s="294">
        <f t="shared" si="60"/>
        <v>296764023.15452015</v>
      </c>
      <c r="X43" s="294">
        <f t="shared" si="60"/>
        <v>147024511.56172389</v>
      </c>
      <c r="Y43" s="294">
        <f t="shared" si="60"/>
        <v>2014779088.395077</v>
      </c>
      <c r="Z43" s="294">
        <f t="shared" si="60"/>
        <v>2707600638.3159623</v>
      </c>
      <c r="AA43" s="294">
        <f t="shared" si="60"/>
        <v>1776416539.5366733</v>
      </c>
      <c r="AB43" s="294">
        <f t="shared" si="60"/>
        <v>873270492.15805399</v>
      </c>
      <c r="AC43" s="294">
        <f t="shared" si="60"/>
        <v>205577913.52773649</v>
      </c>
      <c r="AD43" s="294">
        <f t="shared" si="60"/>
        <v>523879646.99475008</v>
      </c>
      <c r="AE43" s="294">
        <f t="shared" si="60"/>
        <v>87436746.612439156</v>
      </c>
      <c r="AF43" s="294">
        <f t="shared" si="60"/>
        <v>39122680.79468289</v>
      </c>
      <c r="AG43" s="294">
        <f t="shared" si="60"/>
        <v>269837778.05935538</v>
      </c>
      <c r="AH43" s="294">
        <f t="shared" si="60"/>
        <v>129907620.53874122</v>
      </c>
      <c r="AI43" s="294">
        <f t="shared" si="60"/>
        <v>458435862.34428579</v>
      </c>
      <c r="AJ43" s="294">
        <f t="shared" si="60"/>
        <v>1996308823.1876481</v>
      </c>
      <c r="AK43" s="294">
        <f t="shared" si="60"/>
        <v>885271978.51731336</v>
      </c>
      <c r="AL43" s="294">
        <f t="shared" si="60"/>
        <v>901558645.01074851</v>
      </c>
      <c r="AM43" s="294">
        <f t="shared" si="60"/>
        <v>512659723.53582871</v>
      </c>
      <c r="AN43" s="294">
        <f t="shared" si="60"/>
        <v>406647099.97795492</v>
      </c>
      <c r="AO43" s="294">
        <f t="shared" si="60"/>
        <v>202337790.90160131</v>
      </c>
      <c r="AP43" s="294">
        <f t="shared" si="60"/>
        <v>18423304.585025832</v>
      </c>
      <c r="AQ43" s="294">
        <f t="shared" si="60"/>
        <v>1153461963.8734579</v>
      </c>
      <c r="AR43" s="294">
        <f t="shared" si="60"/>
        <v>491124219.7088809</v>
      </c>
      <c r="AS43" s="294">
        <f t="shared" si="60"/>
        <v>348925746.0283131</v>
      </c>
      <c r="AT43" s="294">
        <f t="shared" si="60"/>
        <v>2881780299.0889082</v>
      </c>
      <c r="AU43" s="294">
        <f t="shared" si="60"/>
        <v>143487511.21415269</v>
      </c>
      <c r="AV43" s="294">
        <f t="shared" si="60"/>
        <v>60890522.211956732</v>
      </c>
      <c r="AW43" s="294">
        <f t="shared" si="60"/>
        <v>331957229.81565422</v>
      </c>
      <c r="AX43" s="294">
        <f t="shared" si="60"/>
        <v>242525076.46955445</v>
      </c>
      <c r="AY43" s="294">
        <f t="shared" si="60"/>
        <v>24076795.860540796</v>
      </c>
      <c r="AZ43" s="294">
        <f t="shared" si="60"/>
        <v>1762481328.9076467</v>
      </c>
      <c r="BA43" s="294">
        <f t="shared" si="60"/>
        <v>360114605.71160901</v>
      </c>
      <c r="BB43" s="146"/>
      <c r="BC43" s="147"/>
      <c r="BD43" s="148" t="s">
        <v>386</v>
      </c>
    </row>
    <row r="44" spans="1:56" x14ac:dyDescent="0.15">
      <c r="B44" s="292"/>
      <c r="C44" s="292"/>
      <c r="D44" s="292">
        <f>D43/1000000000</f>
        <v>1.3617754843668981</v>
      </c>
      <c r="E44" s="292">
        <f t="shared" ref="E44:BA44" si="61">E43/1000000000</f>
        <v>30.516480001269166</v>
      </c>
      <c r="F44" s="292">
        <f t="shared" si="61"/>
        <v>0.16803094386499109</v>
      </c>
      <c r="G44" s="292">
        <f t="shared" si="61"/>
        <v>1.774242297471311</v>
      </c>
      <c r="H44" s="292">
        <f t="shared" si="61"/>
        <v>0.90089664276707904</v>
      </c>
      <c r="I44" s="292">
        <f t="shared" si="61"/>
        <v>0.36028903046868765</v>
      </c>
      <c r="J44" s="292">
        <f t="shared" si="61"/>
        <v>0.12051076855117594</v>
      </c>
      <c r="K44" s="292">
        <f t="shared" si="61"/>
        <v>8.6297328239236207E-2</v>
      </c>
      <c r="L44" s="292">
        <f t="shared" si="61"/>
        <v>3.6586374302976377</v>
      </c>
      <c r="M44" s="292">
        <f t="shared" si="61"/>
        <v>1.2275826793360545</v>
      </c>
      <c r="N44" s="292">
        <f t="shared" si="61"/>
        <v>1.0540021407665048E-2</v>
      </c>
      <c r="O44" s="292">
        <f t="shared" si="61"/>
        <v>0.15750644105576633</v>
      </c>
      <c r="P44" s="292">
        <f t="shared" si="61"/>
        <v>1.4810517583589691</v>
      </c>
      <c r="Q44" s="292">
        <f t="shared" si="61"/>
        <v>1.0100637586713124</v>
      </c>
      <c r="R44" s="292">
        <f t="shared" si="61"/>
        <v>0.72099579688879101</v>
      </c>
      <c r="S44" s="292">
        <f t="shared" si="61"/>
        <v>0.15083437885292189</v>
      </c>
      <c r="T44" s="292">
        <f t="shared" si="61"/>
        <v>0.28217994723495615</v>
      </c>
      <c r="U44" s="292">
        <f t="shared" si="61"/>
        <v>2.9114299100374037</v>
      </c>
      <c r="V44" s="292">
        <f t="shared" si="61"/>
        <v>1.1597412185294478</v>
      </c>
      <c r="W44" s="292">
        <f t="shared" si="61"/>
        <v>0.29676402315452016</v>
      </c>
      <c r="X44" s="292">
        <f t="shared" si="61"/>
        <v>0.14702451156172389</v>
      </c>
      <c r="Y44" s="292">
        <f t="shared" si="61"/>
        <v>2.0147790883950769</v>
      </c>
      <c r="Z44" s="292">
        <f t="shared" si="61"/>
        <v>2.7076006383159621</v>
      </c>
      <c r="AA44" s="292">
        <f t="shared" si="61"/>
        <v>1.7764165395366733</v>
      </c>
      <c r="AB44" s="292">
        <f t="shared" si="61"/>
        <v>0.87327049215805397</v>
      </c>
      <c r="AC44" s="292">
        <f t="shared" si="61"/>
        <v>0.20557791352773649</v>
      </c>
      <c r="AD44" s="292">
        <f t="shared" si="61"/>
        <v>0.52387964699475009</v>
      </c>
      <c r="AE44" s="292">
        <f t="shared" si="61"/>
        <v>8.7436746612439151E-2</v>
      </c>
      <c r="AF44" s="292">
        <f t="shared" si="61"/>
        <v>3.9122680794682889E-2</v>
      </c>
      <c r="AG44" s="292">
        <f t="shared" si="61"/>
        <v>0.26983777805935538</v>
      </c>
      <c r="AH44" s="292">
        <f t="shared" si="61"/>
        <v>0.12990762053874122</v>
      </c>
      <c r="AI44" s="292">
        <f t="shared" si="61"/>
        <v>0.45843586234428579</v>
      </c>
      <c r="AJ44" s="292">
        <f t="shared" si="61"/>
        <v>1.996308823187648</v>
      </c>
      <c r="AK44" s="292">
        <f t="shared" si="61"/>
        <v>0.88527197851731332</v>
      </c>
      <c r="AL44" s="292">
        <f t="shared" si="61"/>
        <v>0.90155864501074856</v>
      </c>
      <c r="AM44" s="292">
        <f t="shared" si="61"/>
        <v>0.51265972353582867</v>
      </c>
      <c r="AN44" s="292">
        <f t="shared" si="61"/>
        <v>0.40664709997795495</v>
      </c>
      <c r="AO44" s="292">
        <f t="shared" si="61"/>
        <v>0.20233779090160131</v>
      </c>
      <c r="AP44" s="292">
        <f t="shared" si="61"/>
        <v>1.8423304585025831E-2</v>
      </c>
      <c r="AQ44" s="292">
        <f t="shared" si="61"/>
        <v>1.153461963873458</v>
      </c>
      <c r="AR44" s="292">
        <f t="shared" si="61"/>
        <v>0.49112421970888093</v>
      </c>
      <c r="AS44" s="292">
        <f t="shared" si="61"/>
        <v>0.34892574602831311</v>
      </c>
      <c r="AT44" s="292">
        <f t="shared" si="61"/>
        <v>2.8817802990889083</v>
      </c>
      <c r="AU44" s="292">
        <f t="shared" si="61"/>
        <v>0.14348751121415271</v>
      </c>
      <c r="AV44" s="292">
        <f t="shared" si="61"/>
        <v>6.0890522211956732E-2</v>
      </c>
      <c r="AW44" s="292">
        <f t="shared" si="61"/>
        <v>0.33195722981565423</v>
      </c>
      <c r="AX44" s="292">
        <f t="shared" si="61"/>
        <v>0.24252507646955446</v>
      </c>
      <c r="AY44" s="292">
        <f t="shared" si="61"/>
        <v>2.4076795860540796E-2</v>
      </c>
      <c r="AZ44" s="292">
        <f t="shared" si="61"/>
        <v>1.7624813289076466</v>
      </c>
      <c r="BA44" s="292">
        <f t="shared" si="61"/>
        <v>0.36011460571160903</v>
      </c>
    </row>
    <row r="47" spans="1:56" x14ac:dyDescent="0.15">
      <c r="A47" s="111">
        <v>1</v>
      </c>
    </row>
    <row r="48" spans="1:56" x14ac:dyDescent="0.2">
      <c r="A48" s="111">
        <v>2</v>
      </c>
      <c r="B48" s="143" t="s">
        <v>809</v>
      </c>
      <c r="C48" s="143"/>
    </row>
  </sheetData>
  <phoneticPr fontId="103" type="noConversion"/>
  <hyperlinks>
    <hyperlink ref="B48" r:id="rId1"/>
    <hyperlink ref="BD34" r:id="rId2"/>
  </hyperlinks>
  <pageMargins left="0.75" right="0.75" top="1" bottom="1" header="0.3" footer="0.3"/>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6"/>
  <sheetViews>
    <sheetView workbookViewId="0"/>
  </sheetViews>
  <sheetFormatPr baseColWidth="10" defaultColWidth="8.83203125" defaultRowHeight="16" x14ac:dyDescent="0.2"/>
  <cols>
    <col min="2" max="2" width="55.6640625" customWidth="1"/>
    <col min="3" max="3" width="13.83203125" customWidth="1"/>
    <col min="4" max="4" width="10.1640625" customWidth="1"/>
    <col min="5" max="5" width="11.6640625" customWidth="1"/>
    <col min="6" max="7" width="9" bestFit="1" customWidth="1"/>
    <col min="8" max="8" width="9.6640625" bestFit="1" customWidth="1"/>
    <col min="9" max="11" width="9" bestFit="1" customWidth="1"/>
    <col min="12" max="13" width="9.6640625" bestFit="1" customWidth="1"/>
    <col min="14" max="35" width="9" bestFit="1" customWidth="1"/>
    <col min="36" max="36" width="9.6640625" bestFit="1" customWidth="1"/>
    <col min="37" max="53" width="9" bestFit="1" customWidth="1"/>
  </cols>
  <sheetData>
    <row r="1" spans="1:54" ht="12" customHeight="1" x14ac:dyDescent="0.2">
      <c r="B1">
        <v>2011</v>
      </c>
      <c r="D1" s="78">
        <v>1</v>
      </c>
      <c r="E1" s="78">
        <f t="shared" ref="E1:BA1" si="0">D1+1</f>
        <v>2</v>
      </c>
      <c r="F1" s="78">
        <f t="shared" si="0"/>
        <v>3</v>
      </c>
      <c r="G1" s="78">
        <f t="shared" si="0"/>
        <v>4</v>
      </c>
      <c r="H1" s="78">
        <f t="shared" si="0"/>
        <v>5</v>
      </c>
      <c r="I1" s="78">
        <f t="shared" si="0"/>
        <v>6</v>
      </c>
      <c r="J1" s="78">
        <f t="shared" si="0"/>
        <v>7</v>
      </c>
      <c r="K1" s="78">
        <f t="shared" si="0"/>
        <v>8</v>
      </c>
      <c r="L1" s="78">
        <f t="shared" ref="L1" si="1">K1+1</f>
        <v>9</v>
      </c>
      <c r="M1" s="78">
        <f t="shared" ref="M1" si="2">L1+1</f>
        <v>10</v>
      </c>
      <c r="N1" s="78">
        <f t="shared" ref="N1" si="3">M1+1</f>
        <v>11</v>
      </c>
      <c r="O1" s="78">
        <f t="shared" ref="O1" si="4">N1+1</f>
        <v>12</v>
      </c>
      <c r="P1" s="78">
        <f t="shared" ref="P1" si="5">O1+1</f>
        <v>13</v>
      </c>
      <c r="Q1" s="78">
        <f t="shared" ref="Q1" si="6">P1+1</f>
        <v>14</v>
      </c>
      <c r="R1" s="78">
        <f t="shared" ref="R1" si="7">Q1+1</f>
        <v>15</v>
      </c>
      <c r="S1" s="78">
        <f t="shared" ref="S1" si="8">R1+1</f>
        <v>16</v>
      </c>
      <c r="T1" s="78">
        <f t="shared" ref="T1" si="9">S1+1</f>
        <v>17</v>
      </c>
      <c r="U1" s="78">
        <f t="shared" ref="U1" si="10">T1+1</f>
        <v>18</v>
      </c>
      <c r="V1" s="78">
        <f t="shared" ref="V1" si="11">U1+1</f>
        <v>19</v>
      </c>
      <c r="W1" s="78">
        <f t="shared" ref="W1" si="12">V1+1</f>
        <v>20</v>
      </c>
      <c r="X1" s="78">
        <f t="shared" ref="X1" si="13">W1+1</f>
        <v>21</v>
      </c>
      <c r="Y1" s="78">
        <f t="shared" ref="Y1" si="14">X1+1</f>
        <v>22</v>
      </c>
      <c r="Z1" s="78">
        <f t="shared" ref="Z1" si="15">Y1+1</f>
        <v>23</v>
      </c>
      <c r="AA1" s="78">
        <f t="shared" ref="AA1" si="16">Z1+1</f>
        <v>24</v>
      </c>
      <c r="AB1" s="78">
        <f t="shared" ref="AB1" si="17">AA1+1</f>
        <v>25</v>
      </c>
      <c r="AC1" s="78">
        <f t="shared" si="0"/>
        <v>26</v>
      </c>
      <c r="AD1" s="78">
        <f t="shared" si="0"/>
        <v>27</v>
      </c>
      <c r="AE1" s="78">
        <f t="shared" si="0"/>
        <v>28</v>
      </c>
      <c r="AF1" s="78">
        <f t="shared" si="0"/>
        <v>29</v>
      </c>
      <c r="AG1" s="78">
        <f t="shared" si="0"/>
        <v>30</v>
      </c>
      <c r="AH1" s="78">
        <f t="shared" si="0"/>
        <v>31</v>
      </c>
      <c r="AI1" s="78">
        <f t="shared" si="0"/>
        <v>32</v>
      </c>
      <c r="AJ1" s="78">
        <f t="shared" si="0"/>
        <v>33</v>
      </c>
      <c r="AK1" s="78">
        <f t="shared" si="0"/>
        <v>34</v>
      </c>
      <c r="AL1" s="78">
        <f t="shared" si="0"/>
        <v>35</v>
      </c>
      <c r="AM1" s="78">
        <f t="shared" si="0"/>
        <v>36</v>
      </c>
      <c r="AN1" s="78">
        <f t="shared" si="0"/>
        <v>37</v>
      </c>
      <c r="AO1" s="78">
        <f t="shared" si="0"/>
        <v>38</v>
      </c>
      <c r="AP1" s="78">
        <f t="shared" si="0"/>
        <v>39</v>
      </c>
      <c r="AQ1" s="78">
        <f t="shared" si="0"/>
        <v>40</v>
      </c>
      <c r="AR1" s="78">
        <f t="shared" si="0"/>
        <v>41</v>
      </c>
      <c r="AS1" s="78">
        <f t="shared" si="0"/>
        <v>42</v>
      </c>
      <c r="AT1" s="78">
        <f t="shared" si="0"/>
        <v>43</v>
      </c>
      <c r="AU1" s="78">
        <f t="shared" si="0"/>
        <v>44</v>
      </c>
      <c r="AV1" s="78">
        <f t="shared" si="0"/>
        <v>45</v>
      </c>
      <c r="AW1" s="78">
        <f t="shared" si="0"/>
        <v>46</v>
      </c>
      <c r="AX1" s="78">
        <f t="shared" si="0"/>
        <v>47</v>
      </c>
      <c r="AY1" s="78">
        <f t="shared" si="0"/>
        <v>48</v>
      </c>
      <c r="AZ1" s="78">
        <f t="shared" si="0"/>
        <v>49</v>
      </c>
      <c r="BA1" s="78">
        <f t="shared" si="0"/>
        <v>50</v>
      </c>
      <c r="BB1" s="78"/>
    </row>
    <row r="2" spans="1:54" x14ac:dyDescent="0.2">
      <c r="C2" s="99" t="s">
        <v>95</v>
      </c>
      <c r="D2" t="s">
        <v>453</v>
      </c>
      <c r="E2" t="s">
        <v>454</v>
      </c>
      <c r="F2" t="s">
        <v>455</v>
      </c>
      <c r="G2" t="s">
        <v>456</v>
      </c>
      <c r="H2" t="s">
        <v>457</v>
      </c>
      <c r="I2" t="s">
        <v>458</v>
      </c>
      <c r="J2" t="s">
        <v>459</v>
      </c>
      <c r="K2" t="s">
        <v>460</v>
      </c>
      <c r="L2" t="s">
        <v>461</v>
      </c>
      <c r="M2" t="s">
        <v>462</v>
      </c>
      <c r="N2" t="s">
        <v>463</v>
      </c>
      <c r="O2" t="s">
        <v>464</v>
      </c>
      <c r="P2" t="s">
        <v>465</v>
      </c>
      <c r="Q2" t="s">
        <v>466</v>
      </c>
      <c r="R2" t="s">
        <v>467</v>
      </c>
      <c r="S2" t="s">
        <v>468</v>
      </c>
      <c r="T2" t="s">
        <v>469</v>
      </c>
      <c r="U2" t="s">
        <v>470</v>
      </c>
      <c r="V2" t="s">
        <v>471</v>
      </c>
      <c r="W2" t="s">
        <v>472</v>
      </c>
      <c r="X2" t="s">
        <v>473</v>
      </c>
      <c r="Y2" t="s">
        <v>474</v>
      </c>
      <c r="Z2" t="s">
        <v>475</v>
      </c>
      <c r="AA2" t="s">
        <v>476</v>
      </c>
      <c r="AB2" t="s">
        <v>477</v>
      </c>
      <c r="AC2" t="s">
        <v>478</v>
      </c>
      <c r="AD2" t="s">
        <v>479</v>
      </c>
      <c r="AE2" t="s">
        <v>480</v>
      </c>
      <c r="AF2" t="s">
        <v>481</v>
      </c>
      <c r="AG2" t="s">
        <v>482</v>
      </c>
      <c r="AH2" t="s">
        <v>483</v>
      </c>
      <c r="AI2" t="s">
        <v>484</v>
      </c>
      <c r="AJ2" t="s">
        <v>485</v>
      </c>
      <c r="AK2" t="s">
        <v>486</v>
      </c>
      <c r="AL2" t="s">
        <v>487</v>
      </c>
      <c r="AM2" t="s">
        <v>488</v>
      </c>
      <c r="AN2" t="s">
        <v>489</v>
      </c>
      <c r="AO2" t="s">
        <v>490</v>
      </c>
      <c r="AP2" t="s">
        <v>491</v>
      </c>
      <c r="AQ2" t="s">
        <v>492</v>
      </c>
      <c r="AR2" t="s">
        <v>493</v>
      </c>
      <c r="AS2" t="s">
        <v>494</v>
      </c>
      <c r="AT2" t="s">
        <v>495</v>
      </c>
      <c r="AU2" t="s">
        <v>496</v>
      </c>
      <c r="AV2" t="s">
        <v>497</v>
      </c>
      <c r="AW2" t="s">
        <v>498</v>
      </c>
      <c r="AX2" t="s">
        <v>499</v>
      </c>
      <c r="AY2" t="s">
        <v>500</v>
      </c>
      <c r="AZ2" t="s">
        <v>501</v>
      </c>
      <c r="BA2" t="s">
        <v>502</v>
      </c>
    </row>
    <row r="3" spans="1:54" x14ac:dyDescent="0.2">
      <c r="B3" s="68"/>
      <c r="C3" s="99" t="s">
        <v>96</v>
      </c>
      <c r="D3" t="s">
        <v>39</v>
      </c>
      <c r="E3" t="s">
        <v>40</v>
      </c>
      <c r="F3" t="s">
        <v>41</v>
      </c>
      <c r="G3" t="s">
        <v>42</v>
      </c>
      <c r="H3" t="s">
        <v>43</v>
      </c>
      <c r="I3" t="s">
        <v>44</v>
      </c>
      <c r="J3" t="s">
        <v>45</v>
      </c>
      <c r="K3" t="s">
        <v>46</v>
      </c>
      <c r="L3" t="s">
        <v>47</v>
      </c>
      <c r="M3" t="s">
        <v>48</v>
      </c>
      <c r="N3" t="s">
        <v>49</v>
      </c>
      <c r="O3" t="s">
        <v>50</v>
      </c>
      <c r="P3" t="s">
        <v>51</v>
      </c>
      <c r="Q3" t="s">
        <v>52</v>
      </c>
      <c r="R3" t="s">
        <v>53</v>
      </c>
      <c r="S3" t="s">
        <v>54</v>
      </c>
      <c r="T3" t="s">
        <v>55</v>
      </c>
      <c r="U3" t="s">
        <v>56</v>
      </c>
      <c r="V3" t="s">
        <v>57</v>
      </c>
      <c r="W3" t="s">
        <v>58</v>
      </c>
      <c r="X3" t="s">
        <v>59</v>
      </c>
      <c r="Y3" t="s">
        <v>60</v>
      </c>
      <c r="Z3" t="s">
        <v>61</v>
      </c>
      <c r="AA3" t="s">
        <v>62</v>
      </c>
      <c r="AB3" t="s">
        <v>63</v>
      </c>
      <c r="AC3" t="s">
        <v>64</v>
      </c>
      <c r="AD3" t="s">
        <v>65</v>
      </c>
      <c r="AE3" t="s">
        <v>66</v>
      </c>
      <c r="AF3" t="s">
        <v>67</v>
      </c>
      <c r="AG3" t="s">
        <v>68</v>
      </c>
      <c r="AH3" t="s">
        <v>69</v>
      </c>
      <c r="AI3" t="s">
        <v>70</v>
      </c>
      <c r="AJ3" t="s">
        <v>71</v>
      </c>
      <c r="AK3" t="s">
        <v>72</v>
      </c>
      <c r="AL3" t="s">
        <v>73</v>
      </c>
      <c r="AM3" t="s">
        <v>74</v>
      </c>
      <c r="AN3" t="s">
        <v>75</v>
      </c>
      <c r="AO3" t="s">
        <v>76</v>
      </c>
      <c r="AP3" t="s">
        <v>77</v>
      </c>
      <c r="AQ3" t="s">
        <v>78</v>
      </c>
      <c r="AR3" t="s">
        <v>79</v>
      </c>
      <c r="AS3" t="s">
        <v>80</v>
      </c>
      <c r="AT3" t="s">
        <v>81</v>
      </c>
      <c r="AU3" t="s">
        <v>82</v>
      </c>
      <c r="AV3" t="s">
        <v>83</v>
      </c>
      <c r="AW3" t="s">
        <v>84</v>
      </c>
      <c r="AX3" t="s">
        <v>85</v>
      </c>
      <c r="AY3" t="s">
        <v>86</v>
      </c>
      <c r="AZ3" t="s">
        <v>87</v>
      </c>
      <c r="BA3" t="s">
        <v>88</v>
      </c>
    </row>
    <row r="4" spans="1:54" x14ac:dyDescent="0.2">
      <c r="A4">
        <v>1</v>
      </c>
      <c r="B4" s="297" t="s">
        <v>559</v>
      </c>
      <c r="C4" s="244">
        <f>SUM(D4:BA4)</f>
        <v>239.06474031129324</v>
      </c>
      <c r="D4" s="244">
        <v>5.9556245968310151</v>
      </c>
      <c r="E4" s="244">
        <v>-2.9586529565732538E-3</v>
      </c>
      <c r="F4" s="244">
        <v>5.1728302804887658</v>
      </c>
      <c r="G4" s="244">
        <v>4.5531377398419171</v>
      </c>
      <c r="H4" s="244">
        <v>36.542217954696476</v>
      </c>
      <c r="I4" s="244">
        <v>4.1070682402050176</v>
      </c>
      <c r="J4" s="244">
        <v>1.508638597855321</v>
      </c>
      <c r="K4" s="244">
        <v>1.134832053779492</v>
      </c>
      <c r="L4" s="244">
        <v>10.652420233866371</v>
      </c>
      <c r="M4" s="244">
        <v>13.555449191861994</v>
      </c>
      <c r="N4" s="244">
        <v>0.64147342400328211</v>
      </c>
      <c r="O4" s="244">
        <v>3.8871314387885008</v>
      </c>
      <c r="P4" s="244">
        <v>5.8786082769006667</v>
      </c>
      <c r="Q4" s="244">
        <v>6.8401153907326817</v>
      </c>
      <c r="R4" s="244">
        <v>7.4086204411761996</v>
      </c>
      <c r="S4" s="244">
        <v>2.8053955579669081</v>
      </c>
      <c r="T4" s="244">
        <v>3.0003130897582304</v>
      </c>
      <c r="U4" s="244">
        <v>2.4410771214446267</v>
      </c>
      <c r="V4" s="244">
        <v>1.7372780134076742</v>
      </c>
      <c r="W4" s="244">
        <v>3.0200815338725766</v>
      </c>
      <c r="X4" s="244">
        <v>1.3731126332339394</v>
      </c>
      <c r="Y4" s="244">
        <v>7.4369736624750775</v>
      </c>
      <c r="Z4" s="244">
        <v>6.9321025456960568</v>
      </c>
      <c r="AA4" s="244">
        <v>6.8654880114289387</v>
      </c>
      <c r="AB4" s="244">
        <v>3.8915271207323312</v>
      </c>
      <c r="AC4" s="244">
        <v>0.80035154011155141</v>
      </c>
      <c r="AD4" s="244">
        <v>2.41163014607787</v>
      </c>
      <c r="AE4" s="244">
        <v>0.65205146201215025</v>
      </c>
      <c r="AF4" s="244">
        <v>0.55488425420709997</v>
      </c>
      <c r="AG4" s="244">
        <v>2.153157276807085</v>
      </c>
      <c r="AH4" s="244">
        <v>1.3284880184634476</v>
      </c>
      <c r="AI4" s="244">
        <v>8.5695784850647652</v>
      </c>
      <c r="AJ4" s="244">
        <v>16.610101349949719</v>
      </c>
      <c r="AK4" s="244">
        <v>0.92895230639847415</v>
      </c>
      <c r="AL4" s="244">
        <v>7.2723970303290697</v>
      </c>
      <c r="AM4" s="244">
        <v>1.0986261388322083</v>
      </c>
      <c r="AN4" s="244">
        <v>2.7058181800096945</v>
      </c>
      <c r="AO4" s="244">
        <v>7.2268881744723235</v>
      </c>
      <c r="AP4" s="244">
        <v>0.14594949141888289</v>
      </c>
      <c r="AQ4" s="244">
        <v>4.3324109995071316</v>
      </c>
      <c r="AR4" s="244">
        <v>0.77356155049229314</v>
      </c>
      <c r="AS4" s="244">
        <v>3.9856059529496077</v>
      </c>
      <c r="AT4" s="244">
        <v>8.4203811142136615</v>
      </c>
      <c r="AU4" s="244">
        <v>0.76987462305778576</v>
      </c>
      <c r="AV4" s="244">
        <v>1.6251240202287993</v>
      </c>
      <c r="AW4" s="244">
        <v>4.4904894246973024</v>
      </c>
      <c r="AX4" s="244">
        <v>3.6202896361323149</v>
      </c>
      <c r="AY4" s="244">
        <v>1.0479937109458985</v>
      </c>
      <c r="AZ4" s="244">
        <v>9.5770741945216535</v>
      </c>
      <c r="BA4" s="244">
        <v>0.62450273230494069</v>
      </c>
    </row>
    <row r="5" spans="1:54" x14ac:dyDescent="0.2">
      <c r="A5">
        <v>2</v>
      </c>
      <c r="B5" s="247" t="s">
        <v>635</v>
      </c>
      <c r="C5" s="98">
        <f>SUM(D5:BA5)</f>
        <v>916990</v>
      </c>
      <c r="D5" s="296">
        <v>8950</v>
      </c>
      <c r="E5" s="296">
        <v>880</v>
      </c>
      <c r="F5" s="296">
        <v>26100</v>
      </c>
      <c r="G5" s="296">
        <v>13500</v>
      </c>
      <c r="H5" s="296">
        <v>25400</v>
      </c>
      <c r="I5" s="296">
        <v>31300</v>
      </c>
      <c r="J5" s="296">
        <v>400</v>
      </c>
      <c r="K5" s="296">
        <v>490</v>
      </c>
      <c r="L5" s="296">
        <v>9250</v>
      </c>
      <c r="M5" s="296">
        <v>10300</v>
      </c>
      <c r="N5" s="296">
        <v>1110</v>
      </c>
      <c r="O5" s="296">
        <v>11400</v>
      </c>
      <c r="P5" s="296">
        <v>26600</v>
      </c>
      <c r="Q5" s="296">
        <v>14700</v>
      </c>
      <c r="R5" s="296">
        <v>30700</v>
      </c>
      <c r="S5" s="296">
        <v>46000</v>
      </c>
      <c r="T5" s="296">
        <v>14000</v>
      </c>
      <c r="U5" s="296">
        <v>7950</v>
      </c>
      <c r="V5" s="296">
        <v>1350</v>
      </c>
      <c r="W5" s="296">
        <v>2050</v>
      </c>
      <c r="X5" s="296">
        <v>520</v>
      </c>
      <c r="Y5" s="296">
        <v>10000</v>
      </c>
      <c r="Z5" s="296">
        <v>26850</v>
      </c>
      <c r="AA5" s="296">
        <v>11150</v>
      </c>
      <c r="AB5" s="296">
        <v>28900</v>
      </c>
      <c r="AC5" s="296">
        <v>60500</v>
      </c>
      <c r="AD5" s="296">
        <v>45500</v>
      </c>
      <c r="AE5" s="296">
        <v>5850</v>
      </c>
      <c r="AF5" s="296">
        <v>470</v>
      </c>
      <c r="AG5" s="296">
        <v>730</v>
      </c>
      <c r="AH5" s="296">
        <v>43400</v>
      </c>
      <c r="AI5" s="296">
        <v>7000</v>
      </c>
      <c r="AJ5" s="296">
        <v>8500</v>
      </c>
      <c r="AK5" s="296">
        <v>39600</v>
      </c>
      <c r="AL5" s="296">
        <v>13600</v>
      </c>
      <c r="AM5" s="296">
        <v>34700</v>
      </c>
      <c r="AN5" s="296">
        <v>16300</v>
      </c>
      <c r="AO5" s="296">
        <v>7650</v>
      </c>
      <c r="AP5" s="296">
        <v>70</v>
      </c>
      <c r="AQ5" s="296">
        <v>4900</v>
      </c>
      <c r="AR5" s="296">
        <v>43650</v>
      </c>
      <c r="AS5" s="296">
        <v>10800</v>
      </c>
      <c r="AT5" s="296">
        <v>130000</v>
      </c>
      <c r="AU5" s="296">
        <v>11100</v>
      </c>
      <c r="AV5" s="296">
        <v>1220</v>
      </c>
      <c r="AW5" s="296">
        <v>7950</v>
      </c>
      <c r="AX5" s="296">
        <v>14800</v>
      </c>
      <c r="AY5" s="296">
        <v>3650</v>
      </c>
      <c r="AZ5" s="296">
        <v>15000</v>
      </c>
      <c r="BA5" s="296">
        <v>30200</v>
      </c>
    </row>
    <row r="6" spans="1:54" x14ac:dyDescent="0.2">
      <c r="A6">
        <v>3</v>
      </c>
      <c r="B6" s="100" t="s">
        <v>634</v>
      </c>
      <c r="C6" s="98">
        <f>C5</f>
        <v>916990</v>
      </c>
    </row>
    <row r="8" spans="1:54" x14ac:dyDescent="0.2">
      <c r="B8" s="59" t="s">
        <v>579</v>
      </c>
    </row>
    <row r="9" spans="1:54" ht="307" customHeight="1" x14ac:dyDescent="0.2">
      <c r="A9">
        <v>1</v>
      </c>
      <c r="B9" s="80" t="s">
        <v>1054</v>
      </c>
    </row>
    <row r="10" spans="1:54" x14ac:dyDescent="0.2">
      <c r="A10">
        <v>2</v>
      </c>
      <c r="B10" t="s">
        <v>612</v>
      </c>
    </row>
    <row r="11" spans="1:54" x14ac:dyDescent="0.2">
      <c r="A11">
        <v>3</v>
      </c>
      <c r="B11" t="s">
        <v>612</v>
      </c>
    </row>
    <row r="45" spans="1:61" s="125" customFormat="1" x14ac:dyDescent="0.2">
      <c r="A45" s="202"/>
      <c r="B45" s="202"/>
      <c r="C45" s="202"/>
      <c r="D45" s="202"/>
      <c r="E45" s="202"/>
      <c r="F45" s="202"/>
      <c r="G45" s="202"/>
      <c r="H45" s="202"/>
      <c r="I45" s="202"/>
      <c r="J45" s="202"/>
      <c r="K45" s="202"/>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row>
    <row r="46" spans="1:61" s="125" customFormat="1" x14ac:dyDescent="0.2">
      <c r="A46" s="202"/>
      <c r="B46" s="203"/>
      <c r="C46" s="202"/>
      <c r="D46" s="202"/>
      <c r="E46" s="202"/>
      <c r="F46" s="202"/>
      <c r="G46" s="202"/>
      <c r="H46" s="202"/>
      <c r="I46" s="202"/>
      <c r="J46" s="202"/>
      <c r="K46" s="202"/>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row>
    <row r="47" spans="1:61" s="125" customFormat="1" x14ac:dyDescent="0.2">
      <c r="A47" s="202"/>
      <c r="B47" s="202"/>
      <c r="C47" s="202"/>
      <c r="D47" s="202"/>
      <c r="E47" s="202"/>
      <c r="F47" s="202"/>
      <c r="G47" s="202"/>
      <c r="H47" s="202"/>
      <c r="I47" s="202"/>
      <c r="J47" s="202"/>
      <c r="K47" s="202"/>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row>
    <row r="48" spans="1:61" s="125" customFormat="1" x14ac:dyDescent="0.2">
      <c r="A48" s="202"/>
      <c r="B48" s="202"/>
      <c r="C48" s="202"/>
      <c r="D48" s="202"/>
      <c r="E48" s="202"/>
      <c r="F48" s="202"/>
      <c r="G48" s="202"/>
      <c r="H48" s="202"/>
      <c r="I48" s="202"/>
      <c r="J48" s="202"/>
      <c r="K48" s="202"/>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row>
    <row r="49" spans="1:61" s="125" customFormat="1" x14ac:dyDescent="0.2">
      <c r="A49" s="202"/>
      <c r="B49" s="202"/>
      <c r="C49" s="202"/>
      <c r="D49" s="202"/>
      <c r="E49" s="202"/>
      <c r="F49" s="202"/>
      <c r="G49" s="202"/>
      <c r="H49" s="202"/>
      <c r="I49" s="202"/>
      <c r="J49" s="202"/>
      <c r="K49" s="202"/>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row>
    <row r="50" spans="1:61" s="125" customFormat="1" x14ac:dyDescent="0.2">
      <c r="A50" s="514"/>
      <c r="B50" s="514"/>
      <c r="C50" s="202"/>
      <c r="D50" s="202"/>
      <c r="E50" s="202"/>
      <c r="F50" s="202"/>
      <c r="G50" s="202"/>
      <c r="H50" s="202"/>
      <c r="I50" s="202"/>
      <c r="J50" s="202"/>
      <c r="K50" s="202"/>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row>
    <row r="51" spans="1:61" s="125" customFormat="1" x14ac:dyDescent="0.2">
      <c r="A51" s="202"/>
      <c r="B51" s="202"/>
      <c r="C51" s="202"/>
      <c r="D51" s="202"/>
      <c r="E51" s="202"/>
      <c r="F51" s="202"/>
      <c r="G51" s="202"/>
      <c r="H51" s="202"/>
      <c r="I51" s="202"/>
      <c r="J51" s="202"/>
      <c r="K51" s="202"/>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row>
    <row r="52" spans="1:61" s="125" customFormat="1" x14ac:dyDescent="0.2">
      <c r="A52" s="202"/>
      <c r="B52" s="202"/>
      <c r="C52" s="202"/>
      <c r="D52" s="202"/>
      <c r="E52" s="202"/>
      <c r="F52" s="202"/>
      <c r="G52" s="202"/>
      <c r="H52" s="202"/>
      <c r="I52" s="202"/>
      <c r="J52" s="202"/>
      <c r="K52" s="202"/>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row>
    <row r="53" spans="1:61" s="125" customFormat="1" x14ac:dyDescent="0.2">
      <c r="A53" s="202"/>
      <c r="B53" s="202"/>
      <c r="C53" s="202"/>
      <c r="D53" s="202"/>
      <c r="E53" s="202"/>
      <c r="F53" s="202"/>
      <c r="G53" s="202"/>
      <c r="H53" s="202"/>
      <c r="I53" s="202"/>
      <c r="J53" s="202"/>
      <c r="K53" s="202"/>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row>
    <row r="54" spans="1:61" s="125" customFormat="1" x14ac:dyDescent="0.2">
      <c r="A54" s="514"/>
      <c r="B54" s="514"/>
      <c r="C54" s="202"/>
      <c r="D54" s="202"/>
      <c r="E54" s="202"/>
      <c r="F54" s="202"/>
      <c r="G54" s="202"/>
      <c r="H54" s="202"/>
      <c r="I54" s="202"/>
      <c r="J54" s="202"/>
      <c r="K54" s="202"/>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row>
    <row r="55" spans="1:61" s="125" customFormat="1" x14ac:dyDescent="0.2">
      <c r="A55" s="515"/>
      <c r="B55" s="516"/>
      <c r="C55" s="516"/>
      <c r="D55" s="516"/>
      <c r="E55" s="516"/>
      <c r="F55" s="516"/>
      <c r="G55" s="517"/>
      <c r="H55" s="517"/>
      <c r="I55" s="517"/>
      <c r="J55" s="204"/>
      <c r="K55" s="204"/>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row>
    <row r="56" spans="1:61" s="125" customFormat="1" x14ac:dyDescent="0.2">
      <c r="A56" s="202"/>
      <c r="B56" s="205"/>
      <c r="C56" s="202"/>
      <c r="D56" s="202"/>
      <c r="E56" s="202"/>
      <c r="F56" s="202"/>
      <c r="G56" s="202"/>
      <c r="H56" s="202"/>
      <c r="I56" s="202"/>
      <c r="J56" s="202"/>
      <c r="K56" s="202"/>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row>
  </sheetData>
  <mergeCells count="4">
    <mergeCell ref="A50:B50"/>
    <mergeCell ref="A54:B54"/>
    <mergeCell ref="A55:F55"/>
    <mergeCell ref="G55:I55"/>
  </mergeCells>
  <phoneticPr fontId="103" type="noConversion"/>
  <pageMargins left="0.75" right="0.75" top="1" bottom="1" header="0.3" footer="0.3"/>
  <pageSetup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3"/>
  <sheetViews>
    <sheetView workbookViewId="0"/>
  </sheetViews>
  <sheetFormatPr baseColWidth="10" defaultColWidth="8.83203125" defaultRowHeight="16" x14ac:dyDescent="0.2"/>
  <cols>
    <col min="1" max="1" width="9" bestFit="1" customWidth="1"/>
    <col min="2" max="2" width="59.33203125" customWidth="1"/>
    <col min="3" max="3" width="12.1640625" customWidth="1"/>
    <col min="4" max="4" width="13" bestFit="1" customWidth="1"/>
    <col min="5" max="6" width="10.1640625" customWidth="1"/>
    <col min="7" max="7" width="12" bestFit="1" customWidth="1"/>
    <col min="8" max="9" width="10.1640625" customWidth="1"/>
    <col min="10" max="11" width="11" bestFit="1" customWidth="1"/>
    <col min="12" max="12" width="12" bestFit="1" customWidth="1"/>
    <col min="13" max="13" width="10.6640625" customWidth="1"/>
    <col min="14" max="14" width="9.33203125" bestFit="1" customWidth="1"/>
    <col min="15" max="15" width="11" bestFit="1" customWidth="1"/>
    <col min="16" max="17" width="12" bestFit="1" customWidth="1"/>
    <col min="18" max="18" width="11" bestFit="1" customWidth="1"/>
    <col min="19" max="19" width="10.33203125" bestFit="1" customWidth="1"/>
    <col min="20" max="21" width="12" bestFit="1" customWidth="1"/>
    <col min="22" max="24" width="11" bestFit="1" customWidth="1"/>
    <col min="25" max="28" width="12" bestFit="1" customWidth="1"/>
    <col min="29" max="29" width="10.5" bestFit="1" customWidth="1"/>
    <col min="30" max="30" width="10.33203125" bestFit="1" customWidth="1"/>
    <col min="31" max="31" width="12" bestFit="1" customWidth="1"/>
    <col min="32" max="33" width="11" bestFit="1" customWidth="1"/>
    <col min="34" max="36" width="12" bestFit="1" customWidth="1"/>
    <col min="37" max="37" width="10.33203125" bestFit="1" customWidth="1"/>
    <col min="38" max="38" width="12" bestFit="1" customWidth="1"/>
    <col min="39" max="40" width="11" bestFit="1" customWidth="1"/>
    <col min="41" max="41" width="12" bestFit="1" customWidth="1"/>
    <col min="42" max="42" width="10" bestFit="1" customWidth="1"/>
    <col min="43" max="43" width="12" bestFit="1" customWidth="1"/>
    <col min="44" max="44" width="10.33203125" bestFit="1" customWidth="1"/>
    <col min="45" max="45" width="12" bestFit="1" customWidth="1"/>
    <col min="46" max="47" width="11.33203125" bestFit="1" customWidth="1"/>
    <col min="48" max="48" width="11" bestFit="1" customWidth="1"/>
    <col min="49" max="49" width="12" bestFit="1" customWidth="1"/>
    <col min="50" max="50" width="11" bestFit="1" customWidth="1"/>
    <col min="51" max="51" width="10.1640625" customWidth="1"/>
    <col min="52" max="53" width="12" bestFit="1" customWidth="1"/>
  </cols>
  <sheetData>
    <row r="1" spans="1:55" x14ac:dyDescent="0.2">
      <c r="A1" t="s">
        <v>239</v>
      </c>
      <c r="C1" s="6"/>
      <c r="D1" s="3">
        <v>1</v>
      </c>
      <c r="E1" s="3">
        <f t="shared" ref="E1:K1" si="0">D1+1</f>
        <v>2</v>
      </c>
      <c r="F1" s="3">
        <f t="shared" si="0"/>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B1" s="3"/>
      <c r="BC1" s="2"/>
    </row>
    <row r="2" spans="1:55" x14ac:dyDescent="0.2">
      <c r="C2" s="6"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c r="BB2" s="3"/>
      <c r="BC2" s="3"/>
    </row>
    <row r="3" spans="1:55" x14ac:dyDescent="0.2">
      <c r="C3" s="6"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c r="BB3" s="3"/>
      <c r="BC3" s="2"/>
    </row>
    <row r="4" spans="1:55" x14ac:dyDescent="0.2">
      <c r="A4" s="49">
        <v>1</v>
      </c>
      <c r="B4" s="299" t="s">
        <v>740</v>
      </c>
      <c r="C4" s="298">
        <f>SUM(D4:BA4)</f>
        <v>69.231399181773426</v>
      </c>
      <c r="D4" s="295">
        <f>-(D6*$C12*1000)/1000000000</f>
        <v>2.619001083234</v>
      </c>
      <c r="E4" s="295">
        <f t="shared" ref="E4:BA4" si="43">-(E6*$C12*1000)/1000000000</f>
        <v>0.92820754999999999</v>
      </c>
      <c r="F4" s="295">
        <f t="shared" si="43"/>
        <v>-1.7070226784979994</v>
      </c>
      <c r="G4" s="295">
        <f t="shared" si="43"/>
        <v>5.3598289622319983</v>
      </c>
      <c r="H4" s="295">
        <f t="shared" si="43"/>
        <v>-1.1268854708480025</v>
      </c>
      <c r="I4" s="295">
        <f t="shared" si="43"/>
        <v>-2.6019831903800013</v>
      </c>
      <c r="J4" s="295">
        <f t="shared" si="43"/>
        <v>0.51274246637399978</v>
      </c>
      <c r="K4" s="295">
        <f t="shared" si="43"/>
        <v>0.32570018259200006</v>
      </c>
      <c r="L4" s="295">
        <f t="shared" si="43"/>
        <v>4.8723226243619981</v>
      </c>
      <c r="M4" s="295">
        <f t="shared" si="43"/>
        <v>4.243696237065997</v>
      </c>
      <c r="N4" s="295">
        <f t="shared" si="43"/>
        <v>-8.3210000000000003E-3</v>
      </c>
      <c r="O4" s="295">
        <f t="shared" si="43"/>
        <v>0.97916766723800042</v>
      </c>
      <c r="P4" s="295">
        <f t="shared" si="43"/>
        <v>3.1573037311359986</v>
      </c>
      <c r="Q4" s="295">
        <f t="shared" si="43"/>
        <v>6.0988806278819991</v>
      </c>
      <c r="R4" s="295">
        <f t="shared" si="43"/>
        <v>0.97710402595399981</v>
      </c>
      <c r="S4" s="295">
        <f t="shared" si="43"/>
        <v>-0.38803592894480016</v>
      </c>
      <c r="T4" s="295">
        <f t="shared" si="43"/>
        <v>4.2738194719319997</v>
      </c>
      <c r="U4" s="295">
        <f t="shared" si="43"/>
        <v>4.2326324191200007</v>
      </c>
      <c r="V4" s="295">
        <f t="shared" si="43"/>
        <v>0.45443034622799922</v>
      </c>
      <c r="W4" s="295">
        <f t="shared" si="43"/>
        <v>1.3025353237519999</v>
      </c>
      <c r="X4" s="295">
        <f t="shared" si="43"/>
        <v>0.61107034208800004</v>
      </c>
      <c r="Y4" s="295">
        <f t="shared" si="43"/>
        <v>5.1753946462700009</v>
      </c>
      <c r="Z4" s="295">
        <f t="shared" si="43"/>
        <v>4.4343517986040011</v>
      </c>
      <c r="AA4" s="295">
        <f t="shared" si="43"/>
        <v>3.1146715868959993</v>
      </c>
      <c r="AB4" s="295">
        <f t="shared" si="43"/>
        <v>4.5452470969639984</v>
      </c>
      <c r="AC4" s="295">
        <f t="shared" si="43"/>
        <v>-0.95103662955000123</v>
      </c>
      <c r="AD4" s="295">
        <f t="shared" si="43"/>
        <v>-4.2083430872800101E-2</v>
      </c>
      <c r="AE4" s="295">
        <f t="shared" si="43"/>
        <v>-2.9906828645734298</v>
      </c>
      <c r="AF4" s="295">
        <f t="shared" si="43"/>
        <v>0.25412467135999933</v>
      </c>
      <c r="AG4" s="295">
        <f t="shared" si="43"/>
        <v>0.94546102700599999</v>
      </c>
      <c r="AH4" s="295">
        <f t="shared" si="43"/>
        <v>-3.3902091368899998</v>
      </c>
      <c r="AI4" s="295">
        <f t="shared" si="43"/>
        <v>3.4026197419700002</v>
      </c>
      <c r="AJ4" s="295">
        <f t="shared" si="43"/>
        <v>4.5649622918940009</v>
      </c>
      <c r="AK4" s="295">
        <f t="shared" si="43"/>
        <v>-0.13246735772400001</v>
      </c>
      <c r="AL4" s="295">
        <f t="shared" si="43"/>
        <v>6.4269242370619999</v>
      </c>
      <c r="AM4" s="295">
        <f t="shared" si="43"/>
        <v>0.21804624657199903</v>
      </c>
      <c r="AN4" s="295">
        <f t="shared" si="43"/>
        <v>0.37950466725999793</v>
      </c>
      <c r="AO4" s="295">
        <f t="shared" si="43"/>
        <v>4.335907345679999</v>
      </c>
      <c r="AP4" s="295">
        <f t="shared" si="43"/>
        <v>0.11193304355399994</v>
      </c>
      <c r="AQ4" s="295">
        <f t="shared" si="43"/>
        <v>1.7451026699100007</v>
      </c>
      <c r="AR4" s="295">
        <f t="shared" si="43"/>
        <v>-0.18945369294000003</v>
      </c>
      <c r="AS4" s="295">
        <f t="shared" si="43"/>
        <v>4.0814377688700008</v>
      </c>
      <c r="AT4" s="295">
        <f t="shared" si="43"/>
        <v>-8.3186831839700002</v>
      </c>
      <c r="AU4" s="295">
        <f t="shared" si="43"/>
        <v>-4.2631992298540009</v>
      </c>
      <c r="AV4" s="295">
        <f t="shared" si="43"/>
        <v>0.42122952294399957</v>
      </c>
      <c r="AW4" s="295">
        <f t="shared" si="43"/>
        <v>3.371225574206</v>
      </c>
      <c r="AX4" s="295">
        <f t="shared" si="43"/>
        <v>1.2830531334639987</v>
      </c>
      <c r="AY4" s="295">
        <f t="shared" si="43"/>
        <v>1.0237994809139999</v>
      </c>
      <c r="AZ4" s="295">
        <f t="shared" si="43"/>
        <v>3.7509653429999998</v>
      </c>
      <c r="BA4" s="295">
        <f t="shared" si="43"/>
        <v>0.80705802122850023</v>
      </c>
    </row>
    <row r="5" spans="1:55" x14ac:dyDescent="0.2">
      <c r="A5" s="50">
        <v>2</v>
      </c>
      <c r="B5" s="253" t="s">
        <v>741</v>
      </c>
      <c r="C5" s="308">
        <f>SUM(D5:BA5)</f>
        <v>814151.18303571432</v>
      </c>
      <c r="D5" s="242">
        <v>22876.791000000001</v>
      </c>
      <c r="E5" s="242">
        <v>126869</v>
      </c>
      <c r="F5" s="242">
        <v>18642.969000000001</v>
      </c>
      <c r="G5" s="242">
        <v>18754.916000000001</v>
      </c>
      <c r="H5" s="242">
        <v>32618.144</v>
      </c>
      <c r="I5" s="242">
        <v>22836.718000000001</v>
      </c>
      <c r="J5" s="242">
        <v>1711.749</v>
      </c>
      <c r="K5" s="242">
        <v>339.52</v>
      </c>
      <c r="L5" s="242">
        <v>17460.963</v>
      </c>
      <c r="M5" s="242">
        <v>24768.235000000001</v>
      </c>
      <c r="N5" s="242">
        <v>2020</v>
      </c>
      <c r="O5" s="242">
        <v>21447.733</v>
      </c>
      <c r="P5" s="242">
        <v>4847.4799999999996</v>
      </c>
      <c r="Q5" s="242">
        <v>4830.3950000000004</v>
      </c>
      <c r="R5" s="242">
        <v>3013.759</v>
      </c>
      <c r="S5" s="242">
        <v>2502.4340000000002</v>
      </c>
      <c r="T5" s="242">
        <v>12471.762000000001</v>
      </c>
      <c r="U5" s="242">
        <v>14712.072</v>
      </c>
      <c r="V5" s="242">
        <v>17660.245999999999</v>
      </c>
      <c r="W5" s="242">
        <v>2460.652</v>
      </c>
      <c r="X5" s="242">
        <v>3024.0920000000001</v>
      </c>
      <c r="Y5" s="242">
        <v>20127.048999999999</v>
      </c>
      <c r="Z5" s="242">
        <v>17370.394</v>
      </c>
      <c r="AA5" s="242">
        <v>19541.511999999999</v>
      </c>
      <c r="AB5" s="242">
        <v>15471.982</v>
      </c>
      <c r="AC5" s="242">
        <v>25573.199000000001</v>
      </c>
      <c r="AD5" s="242">
        <v>1576.174</v>
      </c>
      <c r="AE5" s="242">
        <v>10701.275285714288</v>
      </c>
      <c r="AF5" s="242">
        <v>4832.4080000000004</v>
      </c>
      <c r="AG5" s="242">
        <v>1963.5609999999999</v>
      </c>
      <c r="AH5" s="242">
        <v>23674.724999999999</v>
      </c>
      <c r="AI5" s="242">
        <v>18966.415000000001</v>
      </c>
      <c r="AJ5" s="242">
        <v>18587.541000000001</v>
      </c>
      <c r="AK5" s="242">
        <v>759.99800000000005</v>
      </c>
      <c r="AL5" s="242">
        <v>8088.277</v>
      </c>
      <c r="AM5" s="242">
        <v>12646.138000000001</v>
      </c>
      <c r="AN5" s="242">
        <v>29804.002</v>
      </c>
      <c r="AO5" s="242">
        <v>16781.96</v>
      </c>
      <c r="AP5" s="242">
        <v>359.51900000000001</v>
      </c>
      <c r="AQ5" s="242">
        <v>13120.509</v>
      </c>
      <c r="AR5" s="242">
        <v>1910.934</v>
      </c>
      <c r="AS5" s="242">
        <v>13941.333000000001</v>
      </c>
      <c r="AT5" s="242">
        <v>61791.504999999997</v>
      </c>
      <c r="AU5" s="242">
        <v>18135.127</v>
      </c>
      <c r="AV5" s="242">
        <v>4591.28</v>
      </c>
      <c r="AW5" s="242">
        <v>15907.040999999999</v>
      </c>
      <c r="AX5" s="242">
        <v>22435.027999999998</v>
      </c>
      <c r="AY5" s="242">
        <v>12154.471</v>
      </c>
      <c r="AZ5" s="242">
        <v>16980.083999999999</v>
      </c>
      <c r="BA5" s="242">
        <v>10488.11175</v>
      </c>
    </row>
    <row r="6" spans="1:55" x14ac:dyDescent="0.2">
      <c r="A6" s="50">
        <v>3</v>
      </c>
      <c r="B6" s="50" t="s">
        <v>608</v>
      </c>
      <c r="D6" s="60">
        <f>D5-D11</f>
        <v>-6294.9190799999997</v>
      </c>
      <c r="E6" s="60">
        <f>E5-E11</f>
        <v>-2231</v>
      </c>
      <c r="F6" s="60">
        <f t="shared" ref="F6:BA6" si="44">F5-F11</f>
        <v>4102.9267599999985</v>
      </c>
      <c r="G6" s="60">
        <f t="shared" si="44"/>
        <v>-12882.655839999996</v>
      </c>
      <c r="H6" s="60">
        <f t="shared" si="44"/>
        <v>2708.5337600000057</v>
      </c>
      <c r="I6" s="60">
        <f t="shared" si="44"/>
        <v>6254.0156000000025</v>
      </c>
      <c r="J6" s="60">
        <f t="shared" si="44"/>
        <v>-1232.4058799999996</v>
      </c>
      <c r="K6" s="60">
        <f t="shared" si="44"/>
        <v>-782.83904000000007</v>
      </c>
      <c r="L6" s="60">
        <f t="shared" si="44"/>
        <v>-11710.906439999995</v>
      </c>
      <c r="M6" s="60">
        <f t="shared" si="44"/>
        <v>-10199.966919999992</v>
      </c>
      <c r="N6" s="60">
        <f t="shared" si="44"/>
        <v>20</v>
      </c>
      <c r="O6" s="60">
        <f t="shared" si="44"/>
        <v>-2353.485560000001</v>
      </c>
      <c r="P6" s="60">
        <f t="shared" si="44"/>
        <v>-7588.7603199999976</v>
      </c>
      <c r="Q6" s="60">
        <f t="shared" si="44"/>
        <v>-14659.008839999999</v>
      </c>
      <c r="R6" s="60">
        <f t="shared" si="44"/>
        <v>-2348.5254799999993</v>
      </c>
      <c r="S6" s="60">
        <f t="shared" si="44"/>
        <v>932.6665760000003</v>
      </c>
      <c r="T6" s="60">
        <f t="shared" si="44"/>
        <v>-10272.369839999998</v>
      </c>
      <c r="U6" s="60">
        <f t="shared" si="44"/>
        <v>-10173.374400000001</v>
      </c>
      <c r="V6" s="60">
        <f t="shared" si="44"/>
        <v>-1092.249359999998</v>
      </c>
      <c r="W6" s="60">
        <f t="shared" si="44"/>
        <v>-3130.7182399999992</v>
      </c>
      <c r="X6" s="60">
        <f t="shared" si="44"/>
        <v>-1468.7425600000001</v>
      </c>
      <c r="Y6" s="60">
        <f t="shared" si="44"/>
        <v>-12439.357400000001</v>
      </c>
      <c r="Z6" s="60">
        <f t="shared" si="44"/>
        <v>-10658.218480000003</v>
      </c>
      <c r="AA6" s="60">
        <f t="shared" si="44"/>
        <v>-7486.2915199999989</v>
      </c>
      <c r="AB6" s="60">
        <f t="shared" si="44"/>
        <v>-10924.761679999996</v>
      </c>
      <c r="AC6" s="60">
        <f t="shared" si="44"/>
        <v>2285.8710000000028</v>
      </c>
      <c r="AD6" s="60">
        <f t="shared" si="44"/>
        <v>101.14993600000025</v>
      </c>
      <c r="AE6" s="60">
        <f t="shared" si="44"/>
        <v>7188.2775257142885</v>
      </c>
      <c r="AF6" s="60">
        <f t="shared" si="44"/>
        <v>-610.80319999999847</v>
      </c>
      <c r="AG6" s="60">
        <f t="shared" si="44"/>
        <v>-2272.4697200000001</v>
      </c>
      <c r="AH6" s="60">
        <f t="shared" si="44"/>
        <v>8148.5617999999995</v>
      </c>
      <c r="AI6" s="60">
        <f t="shared" si="44"/>
        <v>-8178.3914000000004</v>
      </c>
      <c r="AJ6" s="60">
        <f t="shared" si="44"/>
        <v>-10972.148280000001</v>
      </c>
      <c r="AK6" s="60">
        <f t="shared" si="44"/>
        <v>318.39287999999999</v>
      </c>
      <c r="AL6" s="60">
        <f t="shared" si="44"/>
        <v>-15447.480440000001</v>
      </c>
      <c r="AM6" s="60">
        <f t="shared" si="44"/>
        <v>-524.08663999999771</v>
      </c>
      <c r="AN6" s="60">
        <f t="shared" si="44"/>
        <v>-912.16119999999501</v>
      </c>
      <c r="AO6" s="60">
        <f t="shared" si="44"/>
        <v>-10421.601599999998</v>
      </c>
      <c r="AP6" s="60">
        <f t="shared" si="44"/>
        <v>-269.03747999999985</v>
      </c>
      <c r="AQ6" s="60">
        <f t="shared" si="44"/>
        <v>-4194.4542000000019</v>
      </c>
      <c r="AR6" s="60">
        <f t="shared" si="44"/>
        <v>455.36280000000011</v>
      </c>
      <c r="AS6" s="60">
        <f t="shared" si="44"/>
        <v>-9809.9694</v>
      </c>
      <c r="AT6" s="60">
        <f t="shared" si="44"/>
        <v>19994.431400000001</v>
      </c>
      <c r="AU6" s="60">
        <f t="shared" si="44"/>
        <v>10246.843480000001</v>
      </c>
      <c r="AV6" s="60">
        <f t="shared" si="44"/>
        <v>-1012.4492799999989</v>
      </c>
      <c r="AW6" s="60">
        <f t="shared" si="44"/>
        <v>-8102.9337199999991</v>
      </c>
      <c r="AX6" s="60">
        <f t="shared" si="44"/>
        <v>-3083.891679999997</v>
      </c>
      <c r="AY6" s="60">
        <f t="shared" si="44"/>
        <v>-2460.7606799999994</v>
      </c>
      <c r="AZ6" s="60">
        <f t="shared" si="44"/>
        <v>-9015.66</v>
      </c>
      <c r="BA6" s="60">
        <f t="shared" si="44"/>
        <v>-1939.8101700000007</v>
      </c>
    </row>
    <row r="7" spans="1:55" x14ac:dyDescent="0.2">
      <c r="A7" s="50">
        <v>4</v>
      </c>
      <c r="B7" s="305" t="s">
        <v>739</v>
      </c>
      <c r="C7" s="306">
        <f>318.5*1.31</f>
        <v>417.23500000000001</v>
      </c>
    </row>
    <row r="8" spans="1:55" x14ac:dyDescent="0.2">
      <c r="A8" s="50">
        <v>5</v>
      </c>
      <c r="B8" s="309" t="s">
        <v>246</v>
      </c>
      <c r="C8" s="251"/>
      <c r="D8" s="251">
        <v>90</v>
      </c>
      <c r="E8" s="251"/>
      <c r="F8" s="251">
        <v>20</v>
      </c>
      <c r="G8" s="251">
        <v>95</v>
      </c>
      <c r="H8" s="251">
        <v>30</v>
      </c>
      <c r="I8" s="251">
        <v>25</v>
      </c>
      <c r="J8" s="251">
        <v>95</v>
      </c>
      <c r="K8" s="251">
        <v>90</v>
      </c>
      <c r="L8" s="251">
        <v>85</v>
      </c>
      <c r="M8" s="251">
        <v>95</v>
      </c>
      <c r="N8" s="251"/>
      <c r="O8" s="251">
        <v>45</v>
      </c>
      <c r="P8" s="251">
        <v>35</v>
      </c>
      <c r="Q8" s="251">
        <v>85</v>
      </c>
      <c r="R8" s="251">
        <v>15</v>
      </c>
      <c r="S8" s="251">
        <v>3</v>
      </c>
      <c r="T8" s="251">
        <v>90</v>
      </c>
      <c r="U8" s="251">
        <v>90</v>
      </c>
      <c r="V8" s="251">
        <v>95</v>
      </c>
      <c r="W8" s="251">
        <v>90</v>
      </c>
      <c r="X8" s="251">
        <v>90</v>
      </c>
      <c r="Y8" s="251">
        <v>90</v>
      </c>
      <c r="Z8" s="251">
        <v>55</v>
      </c>
      <c r="AA8" s="251">
        <v>90</v>
      </c>
      <c r="AB8" s="251">
        <v>60</v>
      </c>
      <c r="AC8" s="251">
        <v>25</v>
      </c>
      <c r="AD8" s="251">
        <v>3</v>
      </c>
      <c r="AE8" s="251">
        <v>5</v>
      </c>
      <c r="AF8" s="251">
        <v>95</v>
      </c>
      <c r="AG8" s="251">
        <v>90</v>
      </c>
      <c r="AH8" s="251">
        <v>20</v>
      </c>
      <c r="AI8" s="251">
        <v>90</v>
      </c>
      <c r="AJ8" s="251">
        <v>95</v>
      </c>
      <c r="AK8" s="251">
        <v>1</v>
      </c>
      <c r="AL8" s="251">
        <v>90</v>
      </c>
      <c r="AM8" s="251">
        <v>30</v>
      </c>
      <c r="AN8" s="251">
        <v>50</v>
      </c>
      <c r="AO8" s="251">
        <v>95</v>
      </c>
      <c r="AP8" s="251">
        <v>95</v>
      </c>
      <c r="AQ8" s="251">
        <v>90</v>
      </c>
      <c r="AR8" s="251">
        <v>3</v>
      </c>
      <c r="AS8" s="251">
        <v>90</v>
      </c>
      <c r="AT8" s="251">
        <v>25</v>
      </c>
      <c r="AU8" s="251">
        <v>15</v>
      </c>
      <c r="AV8" s="251">
        <v>95</v>
      </c>
      <c r="AW8" s="251">
        <v>95</v>
      </c>
      <c r="AX8" s="251">
        <v>60</v>
      </c>
      <c r="AY8" s="251">
        <v>95</v>
      </c>
      <c r="AZ8" s="251">
        <v>75</v>
      </c>
      <c r="BA8" s="251">
        <v>20</v>
      </c>
    </row>
    <row r="9" spans="1:55" x14ac:dyDescent="0.2">
      <c r="A9" s="50">
        <v>6</v>
      </c>
      <c r="B9" s="253" t="s">
        <v>610</v>
      </c>
      <c r="C9" s="424">
        <v>3531905.43</v>
      </c>
      <c r="D9" s="424">
        <v>50645.33</v>
      </c>
      <c r="E9" s="424">
        <v>570640.94999999995</v>
      </c>
      <c r="F9" s="424">
        <v>113594.08</v>
      </c>
      <c r="G9" s="424">
        <v>52035.48</v>
      </c>
      <c r="H9" s="424">
        <v>155779.22</v>
      </c>
      <c r="I9" s="424">
        <v>103641.89</v>
      </c>
      <c r="J9" s="424">
        <v>4842.3599999999997</v>
      </c>
      <c r="K9" s="424">
        <v>1948.54</v>
      </c>
      <c r="L9" s="424">
        <v>53624.76</v>
      </c>
      <c r="M9" s="424">
        <v>57513.49</v>
      </c>
      <c r="N9" s="424">
        <v>6422.63</v>
      </c>
      <c r="O9" s="424">
        <v>82643.12</v>
      </c>
      <c r="P9" s="424">
        <v>55518.93</v>
      </c>
      <c r="Q9" s="424">
        <v>35826.11</v>
      </c>
      <c r="R9" s="424">
        <v>55857.13</v>
      </c>
      <c r="S9" s="424">
        <v>81758.720000000001</v>
      </c>
      <c r="T9" s="424">
        <v>39486.339999999997</v>
      </c>
      <c r="U9" s="424">
        <v>43203.9</v>
      </c>
      <c r="V9" s="424">
        <v>30842.92</v>
      </c>
      <c r="W9" s="424">
        <v>9707.24</v>
      </c>
      <c r="X9" s="424">
        <v>7800.06</v>
      </c>
      <c r="Y9" s="424">
        <v>56538.9</v>
      </c>
      <c r="Z9" s="424">
        <v>79626.740000000005</v>
      </c>
      <c r="AA9" s="424">
        <v>46923.27</v>
      </c>
      <c r="AB9" s="424">
        <v>68741.52</v>
      </c>
      <c r="AC9" s="424">
        <v>145545.79999999999</v>
      </c>
      <c r="AD9" s="424">
        <v>76824.17</v>
      </c>
      <c r="AE9" s="424">
        <v>109781.18</v>
      </c>
      <c r="AF9" s="424">
        <v>8952.65</v>
      </c>
      <c r="AG9" s="424">
        <v>7354.22</v>
      </c>
      <c r="AH9" s="424">
        <v>121298.15</v>
      </c>
      <c r="AI9" s="424">
        <v>47126.400000000001</v>
      </c>
      <c r="AJ9" s="424">
        <v>48617.91</v>
      </c>
      <c r="AK9" s="424">
        <v>69000.800000000003</v>
      </c>
      <c r="AL9" s="424">
        <v>40860.69</v>
      </c>
      <c r="AM9" s="424">
        <v>68594.92</v>
      </c>
      <c r="AN9" s="424">
        <v>95988.01</v>
      </c>
      <c r="AO9" s="424">
        <v>44742.7</v>
      </c>
      <c r="AP9" s="424">
        <v>1033.81</v>
      </c>
      <c r="AQ9" s="424">
        <v>30060.7</v>
      </c>
      <c r="AR9" s="424">
        <v>75811</v>
      </c>
      <c r="AS9" s="424">
        <v>41234.9</v>
      </c>
      <c r="AT9" s="424">
        <v>261231.71</v>
      </c>
      <c r="AU9" s="424">
        <v>82169.62</v>
      </c>
      <c r="AV9" s="424">
        <v>9216.66</v>
      </c>
      <c r="AW9" s="424">
        <v>39490.089999999997</v>
      </c>
      <c r="AX9" s="424">
        <v>66455.520000000004</v>
      </c>
      <c r="AY9" s="424">
        <v>24038.21</v>
      </c>
      <c r="AZ9" s="424">
        <v>54157.8</v>
      </c>
      <c r="BA9" s="424">
        <v>97093.14</v>
      </c>
    </row>
    <row r="10" spans="1:55" x14ac:dyDescent="0.2">
      <c r="A10" s="50">
        <v>7</v>
      </c>
      <c r="B10" s="55" t="s">
        <v>609</v>
      </c>
      <c r="C10" s="425">
        <f>(C9/0.0015625)/1000</f>
        <v>2260419.4751999998</v>
      </c>
      <c r="D10" s="425">
        <f t="shared" ref="D10:BA10" si="45">(D9/0.0015625)/1000</f>
        <v>32413.011200000001</v>
      </c>
      <c r="E10" s="425">
        <f t="shared" si="45"/>
        <v>365210.20799999993</v>
      </c>
      <c r="F10" s="425">
        <f t="shared" si="45"/>
        <v>72700.211200000005</v>
      </c>
      <c r="G10" s="425">
        <f t="shared" si="45"/>
        <v>33302.707199999997</v>
      </c>
      <c r="H10" s="425">
        <f t="shared" si="45"/>
        <v>99698.700799999991</v>
      </c>
      <c r="I10" s="425">
        <f t="shared" si="45"/>
        <v>66330.809599999993</v>
      </c>
      <c r="J10" s="425">
        <f t="shared" si="45"/>
        <v>3099.1103999999996</v>
      </c>
      <c r="K10" s="425">
        <f t="shared" si="45"/>
        <v>1247.0655999999999</v>
      </c>
      <c r="L10" s="425">
        <f t="shared" si="45"/>
        <v>34319.846399999995</v>
      </c>
      <c r="M10" s="425">
        <f t="shared" si="45"/>
        <v>36808.633599999994</v>
      </c>
      <c r="N10" s="425">
        <f t="shared" si="45"/>
        <v>4110.4831999999997</v>
      </c>
      <c r="O10" s="425">
        <f t="shared" si="45"/>
        <v>52891.596799999999</v>
      </c>
      <c r="P10" s="425">
        <f t="shared" si="45"/>
        <v>35532.115199999993</v>
      </c>
      <c r="Q10" s="425">
        <f t="shared" si="45"/>
        <v>22928.7104</v>
      </c>
      <c r="R10" s="425">
        <f t="shared" si="45"/>
        <v>35748.563199999997</v>
      </c>
      <c r="S10" s="425">
        <f t="shared" si="45"/>
        <v>52325.580799999996</v>
      </c>
      <c r="T10" s="425">
        <f t="shared" si="45"/>
        <v>25271.257599999997</v>
      </c>
      <c r="U10" s="425">
        <f t="shared" si="45"/>
        <v>27650.495999999999</v>
      </c>
      <c r="V10" s="425">
        <f t="shared" si="45"/>
        <v>19739.468799999999</v>
      </c>
      <c r="W10" s="425">
        <f t="shared" si="45"/>
        <v>6212.6335999999992</v>
      </c>
      <c r="X10" s="425">
        <f t="shared" si="45"/>
        <v>4992.0384000000004</v>
      </c>
      <c r="Y10" s="425">
        <f t="shared" si="45"/>
        <v>36184.896000000001</v>
      </c>
      <c r="Z10" s="425">
        <f t="shared" si="45"/>
        <v>50961.113600000004</v>
      </c>
      <c r="AA10" s="425">
        <f t="shared" si="45"/>
        <v>30030.892799999998</v>
      </c>
      <c r="AB10" s="425">
        <f t="shared" si="45"/>
        <v>43994.572799999994</v>
      </c>
      <c r="AC10" s="425">
        <f t="shared" si="45"/>
        <v>93149.311999999991</v>
      </c>
      <c r="AD10" s="425">
        <f t="shared" si="45"/>
        <v>49167.468799999995</v>
      </c>
      <c r="AE10" s="425">
        <f t="shared" si="45"/>
        <v>70259.955199999982</v>
      </c>
      <c r="AF10" s="425">
        <f t="shared" si="45"/>
        <v>5729.695999999999</v>
      </c>
      <c r="AG10" s="425">
        <f t="shared" si="45"/>
        <v>4706.7007999999996</v>
      </c>
      <c r="AH10" s="425">
        <f t="shared" si="45"/>
        <v>77630.815999999992</v>
      </c>
      <c r="AI10" s="425">
        <f t="shared" si="45"/>
        <v>30160.896000000001</v>
      </c>
      <c r="AJ10" s="425">
        <f t="shared" si="45"/>
        <v>31115.462400000004</v>
      </c>
      <c r="AK10" s="425">
        <f t="shared" si="45"/>
        <v>44160.512000000002</v>
      </c>
      <c r="AL10" s="425">
        <f t="shared" si="45"/>
        <v>26150.8416</v>
      </c>
      <c r="AM10" s="425">
        <f t="shared" si="45"/>
        <v>43900.748799999994</v>
      </c>
      <c r="AN10" s="425">
        <f t="shared" si="45"/>
        <v>61432.326399999991</v>
      </c>
      <c r="AO10" s="425">
        <f t="shared" si="45"/>
        <v>28635.327999999998</v>
      </c>
      <c r="AP10" s="425">
        <f t="shared" si="45"/>
        <v>661.63839999999993</v>
      </c>
      <c r="AQ10" s="425">
        <f t="shared" si="45"/>
        <v>19238.848000000002</v>
      </c>
      <c r="AR10" s="425">
        <f t="shared" si="45"/>
        <v>48519.040000000001</v>
      </c>
      <c r="AS10" s="425">
        <f t="shared" si="45"/>
        <v>26390.335999999999</v>
      </c>
      <c r="AT10" s="425">
        <f t="shared" si="45"/>
        <v>167188.29439999998</v>
      </c>
      <c r="AU10" s="425">
        <f t="shared" si="45"/>
        <v>52588.556799999998</v>
      </c>
      <c r="AV10" s="425">
        <f t="shared" si="45"/>
        <v>5898.6623999999993</v>
      </c>
      <c r="AW10" s="425">
        <f t="shared" si="45"/>
        <v>25273.657599999999</v>
      </c>
      <c r="AX10" s="425">
        <f t="shared" si="45"/>
        <v>42531.532799999994</v>
      </c>
      <c r="AY10" s="425">
        <f t="shared" si="45"/>
        <v>15384.454399999999</v>
      </c>
      <c r="AZ10" s="425">
        <f t="shared" si="45"/>
        <v>34660.991999999998</v>
      </c>
      <c r="BA10" s="425">
        <f t="shared" si="45"/>
        <v>62139.609599999996</v>
      </c>
    </row>
    <row r="11" spans="1:55" x14ac:dyDescent="0.2">
      <c r="A11" s="52">
        <v>8</v>
      </c>
      <c r="B11" s="301" t="s">
        <v>248</v>
      </c>
      <c r="C11" s="217">
        <v>1045435</v>
      </c>
      <c r="D11" s="217">
        <v>29171.710080000001</v>
      </c>
      <c r="E11" s="217">
        <v>129100</v>
      </c>
      <c r="F11" s="217">
        <v>14540.042240000002</v>
      </c>
      <c r="G11" s="217">
        <v>31637.571839999997</v>
      </c>
      <c r="H11" s="217">
        <v>29909.610239999995</v>
      </c>
      <c r="I11" s="217">
        <v>16582.702399999998</v>
      </c>
      <c r="J11" s="217">
        <v>2944.1548799999996</v>
      </c>
      <c r="K11" s="217">
        <v>1122.35904</v>
      </c>
      <c r="L11" s="217">
        <v>29171.869439999995</v>
      </c>
      <c r="M11" s="217">
        <v>34968.201919999992</v>
      </c>
      <c r="N11" s="217">
        <v>2000</v>
      </c>
      <c r="O11" s="217">
        <v>23801.218560000001</v>
      </c>
      <c r="P11" s="217">
        <v>12436.240319999997</v>
      </c>
      <c r="Q11" s="217">
        <v>19489.403839999999</v>
      </c>
      <c r="R11" s="217">
        <v>5362.2844799999993</v>
      </c>
      <c r="S11" s="217">
        <v>1569.7674239999999</v>
      </c>
      <c r="T11" s="217">
        <v>22744.131839999998</v>
      </c>
      <c r="U11" s="217">
        <v>24885.446400000001</v>
      </c>
      <c r="V11" s="217">
        <v>18752.495359999997</v>
      </c>
      <c r="W11" s="217">
        <v>5591.3702399999993</v>
      </c>
      <c r="X11" s="217">
        <v>4492.8345600000002</v>
      </c>
      <c r="Y11" s="217">
        <v>32566.4064</v>
      </c>
      <c r="Z11" s="217">
        <v>28028.612480000003</v>
      </c>
      <c r="AA11" s="217">
        <v>27027.803519999998</v>
      </c>
      <c r="AB11" s="217">
        <v>26396.743679999996</v>
      </c>
      <c r="AC11" s="217">
        <v>23287.327999999998</v>
      </c>
      <c r="AD11" s="217">
        <v>1475.0240639999997</v>
      </c>
      <c r="AE11" s="217">
        <v>3512.9977599999993</v>
      </c>
      <c r="AF11" s="217">
        <v>5443.2111999999988</v>
      </c>
      <c r="AG11" s="217">
        <v>4236.0307199999997</v>
      </c>
      <c r="AH11" s="217">
        <v>15526.163199999999</v>
      </c>
      <c r="AI11" s="217">
        <v>27144.806400000001</v>
      </c>
      <c r="AJ11" s="217">
        <v>29559.689280000002</v>
      </c>
      <c r="AK11" s="217">
        <v>441.60512000000006</v>
      </c>
      <c r="AL11" s="217">
        <v>23535.757440000001</v>
      </c>
      <c r="AM11" s="217">
        <v>13170.224639999999</v>
      </c>
      <c r="AN11" s="217">
        <v>30716.163199999995</v>
      </c>
      <c r="AO11" s="217">
        <v>27203.561599999997</v>
      </c>
      <c r="AP11" s="217">
        <v>628.55647999999985</v>
      </c>
      <c r="AQ11" s="217">
        <v>17314.963200000002</v>
      </c>
      <c r="AR11" s="217">
        <v>1455.5711999999999</v>
      </c>
      <c r="AS11" s="217">
        <v>23751.3024</v>
      </c>
      <c r="AT11" s="217">
        <v>41797.073599999996</v>
      </c>
      <c r="AU11" s="217">
        <v>7888.283519999999</v>
      </c>
      <c r="AV11" s="217">
        <v>5603.7292799999987</v>
      </c>
      <c r="AW11" s="217">
        <v>24009.974719999998</v>
      </c>
      <c r="AX11" s="217">
        <v>25518.919679999995</v>
      </c>
      <c r="AY11" s="217">
        <v>14615.231679999999</v>
      </c>
      <c r="AZ11" s="217">
        <v>25995.743999999999</v>
      </c>
      <c r="BA11" s="217">
        <v>12427.921920000001</v>
      </c>
    </row>
    <row r="12" spans="1:55" x14ac:dyDescent="0.2">
      <c r="A12" s="52">
        <v>9</v>
      </c>
      <c r="B12" s="307" t="s">
        <v>919</v>
      </c>
      <c r="C12" s="304">
        <v>416.05</v>
      </c>
    </row>
    <row r="13" spans="1:55" x14ac:dyDescent="0.2">
      <c r="A13" s="52"/>
      <c r="B13" s="52"/>
    </row>
    <row r="14" spans="1:55" x14ac:dyDescent="0.2">
      <c r="A14" s="52"/>
      <c r="B14" s="52"/>
    </row>
    <row r="15" spans="1:55" x14ac:dyDescent="0.2">
      <c r="A15" s="52"/>
      <c r="B15" s="59" t="s">
        <v>579</v>
      </c>
    </row>
    <row r="16" spans="1:55" x14ac:dyDescent="0.2">
      <c r="A16" s="52">
        <v>1</v>
      </c>
      <c r="B16" s="52" t="s">
        <v>240</v>
      </c>
    </row>
    <row r="17" spans="1:53" x14ac:dyDescent="0.2">
      <c r="A17" s="52">
        <v>2</v>
      </c>
      <c r="B17" s="52" t="s">
        <v>899</v>
      </c>
    </row>
    <row r="18" spans="1:53" x14ac:dyDescent="0.2">
      <c r="A18" s="52">
        <v>3</v>
      </c>
      <c r="B18" s="52" t="s">
        <v>241</v>
      </c>
    </row>
    <row r="19" spans="1:53" x14ac:dyDescent="0.2">
      <c r="A19" s="52">
        <v>4</v>
      </c>
      <c r="B19" s="52" t="s">
        <v>242</v>
      </c>
    </row>
    <row r="20" spans="1:53" x14ac:dyDescent="0.2">
      <c r="A20" s="52">
        <v>5</v>
      </c>
      <c r="B20" s="54" t="s">
        <v>247</v>
      </c>
    </row>
    <row r="21" spans="1:53" x14ac:dyDescent="0.2">
      <c r="A21" s="52">
        <v>6</v>
      </c>
      <c r="B21" t="s">
        <v>245</v>
      </c>
    </row>
    <row r="22" spans="1:53" x14ac:dyDescent="0.2">
      <c r="A22" s="52">
        <v>7</v>
      </c>
      <c r="B22" s="52" t="s">
        <v>611</v>
      </c>
    </row>
    <row r="23" spans="1:53" ht="71" x14ac:dyDescent="0.2">
      <c r="A23" s="52">
        <v>8</v>
      </c>
      <c r="B23" s="74" t="s">
        <v>742</v>
      </c>
    </row>
    <row r="24" spans="1:53" x14ac:dyDescent="0.2">
      <c r="A24" s="52">
        <v>9</v>
      </c>
      <c r="B24" t="s">
        <v>918</v>
      </c>
    </row>
    <row r="25" spans="1:53" x14ac:dyDescent="0.2">
      <c r="A25" s="52"/>
      <c r="B25" s="54"/>
    </row>
    <row r="26" spans="1:53" x14ac:dyDescent="0.2">
      <c r="A26" s="52"/>
      <c r="B26" s="54"/>
    </row>
    <row r="27" spans="1:53" x14ac:dyDescent="0.2">
      <c r="A27" s="52"/>
      <c r="B27" s="54"/>
    </row>
    <row r="28" spans="1:53" x14ac:dyDescent="0.2">
      <c r="A28" s="52"/>
      <c r="B28" s="54"/>
    </row>
    <row r="29" spans="1:53" x14ac:dyDescent="0.2">
      <c r="A29" s="52"/>
      <c r="B29" s="52"/>
    </row>
    <row r="30" spans="1:53" s="125" customFormat="1" x14ac:dyDescent="0.2">
      <c r="A30" s="520"/>
      <c r="B30" s="520"/>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row>
    <row r="31" spans="1:53" s="125" customFormat="1" x14ac:dyDescent="0.2">
      <c r="A31" s="154"/>
      <c r="B31" s="155"/>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row>
    <row r="32" spans="1:53" s="125" customFormat="1" x14ac:dyDescent="0.2">
      <c r="A32" s="156"/>
      <c r="B32" s="156"/>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5" s="125" customFormat="1" x14ac:dyDescent="0.2">
      <c r="A33" s="156"/>
      <c r="B33" s="156"/>
      <c r="C33" s="141"/>
      <c r="D33" s="157"/>
      <c r="E33" s="158"/>
      <c r="F33" s="158"/>
      <c r="G33" s="158"/>
      <c r="H33" s="158"/>
      <c r="I33" s="158"/>
      <c r="J33" s="158"/>
      <c r="K33" s="158"/>
      <c r="L33" s="158"/>
      <c r="M33" s="159"/>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C33" s="160"/>
    </row>
    <row r="34" spans="1:55" s="125" customFormat="1" x14ac:dyDescent="0.2">
      <c r="A34" s="156"/>
      <c r="B34" s="156"/>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row>
    <row r="35" spans="1:55" s="125" customFormat="1" x14ac:dyDescent="0.2">
      <c r="A35" s="156"/>
      <c r="B35" s="16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5" s="125" customFormat="1" x14ac:dyDescent="0.2">
      <c r="A36" s="162"/>
      <c r="B36" s="162"/>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row>
    <row r="37" spans="1:55" s="125" customFormat="1" x14ac:dyDescent="0.2">
      <c r="A37" s="156"/>
      <c r="B37" s="156"/>
      <c r="C37" s="163"/>
      <c r="D37" s="163"/>
      <c r="E37" s="163"/>
      <c r="F37" s="163"/>
      <c r="G37" s="163"/>
      <c r="H37" s="163"/>
      <c r="I37" s="163"/>
      <c r="J37" s="157"/>
      <c r="K37" s="157"/>
      <c r="L37" s="157"/>
      <c r="M37" s="163"/>
      <c r="N37" s="163"/>
      <c r="O37" s="163"/>
      <c r="P37" s="163"/>
      <c r="Q37" s="157"/>
      <c r="R37" s="157"/>
      <c r="S37" s="157"/>
      <c r="T37" s="157"/>
      <c r="U37" s="157"/>
      <c r="V37" s="157"/>
      <c r="W37" s="157"/>
      <c r="X37" s="157"/>
      <c r="Y37" s="163"/>
      <c r="Z37" s="157"/>
      <c r="AA37" s="163"/>
      <c r="AB37" s="157"/>
      <c r="AC37" s="157"/>
      <c r="AD37" s="163"/>
      <c r="AE37" s="157"/>
      <c r="AF37" s="157"/>
      <c r="AG37" s="157"/>
      <c r="AH37" s="157"/>
      <c r="AI37" s="157"/>
      <c r="AJ37" s="157"/>
      <c r="AK37" s="157"/>
      <c r="AL37" s="163"/>
      <c r="AM37" s="157"/>
      <c r="AN37" s="163"/>
      <c r="AO37" s="163"/>
      <c r="AP37" s="163"/>
      <c r="AQ37" s="157"/>
      <c r="AR37" s="163"/>
      <c r="AS37" s="163"/>
      <c r="AT37" s="157"/>
      <c r="AU37" s="157"/>
      <c r="AV37" s="141"/>
      <c r="AW37" s="163"/>
      <c r="AX37" s="163"/>
      <c r="AY37" s="157"/>
      <c r="AZ37" s="163"/>
      <c r="BA37" s="163"/>
    </row>
    <row r="38" spans="1:55" s="125" customFormat="1" x14ac:dyDescent="0.2">
      <c r="A38" s="156"/>
      <c r="B38" s="156"/>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row>
    <row r="39" spans="1:55" s="125" customFormat="1" x14ac:dyDescent="0.2">
      <c r="A39" s="162"/>
      <c r="B39" s="165"/>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C39" s="160"/>
    </row>
    <row r="40" spans="1:55" s="125" customFormat="1" x14ac:dyDescent="0.2">
      <c r="A40" s="162"/>
      <c r="B40" s="165"/>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row>
    <row r="41" spans="1:55" s="125" customFormat="1" x14ac:dyDescent="0.2">
      <c r="A41" s="520"/>
      <c r="B41" s="520"/>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row>
    <row r="42" spans="1:55" s="125" customFormat="1" x14ac:dyDescent="0.2">
      <c r="A42" s="162"/>
      <c r="B42" s="162"/>
      <c r="C42" s="162"/>
      <c r="D42" s="162"/>
      <c r="E42" s="156"/>
      <c r="F42" s="162"/>
      <c r="G42" s="162"/>
      <c r="H42" s="162"/>
      <c r="I42" s="162"/>
      <c r="J42" s="162"/>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row>
    <row r="43" spans="1:55" s="125" customFormat="1" x14ac:dyDescent="0.2">
      <c r="A43" s="162"/>
      <c r="B43" s="141"/>
      <c r="C43" s="162"/>
      <c r="D43" s="162"/>
      <c r="E43" s="162"/>
      <c r="F43" s="162"/>
      <c r="G43" s="162"/>
      <c r="H43" s="162"/>
      <c r="I43" s="162"/>
      <c r="J43" s="162"/>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row>
    <row r="44" spans="1:55" s="125" customFormat="1" x14ac:dyDescent="0.2">
      <c r="A44" s="162"/>
      <c r="B44" s="160"/>
      <c r="C44" s="162"/>
      <c r="D44" s="162"/>
      <c r="E44" s="162"/>
      <c r="F44" s="162"/>
      <c r="G44" s="162"/>
      <c r="H44" s="162"/>
      <c r="I44" s="162"/>
      <c r="J44" s="162"/>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row>
    <row r="45" spans="1:55" s="125" customFormat="1" x14ac:dyDescent="0.2">
      <c r="A45" s="162"/>
      <c r="B45" s="141"/>
      <c r="C45" s="162"/>
      <c r="D45" s="162"/>
      <c r="E45" s="162"/>
      <c r="F45" s="162"/>
      <c r="G45" s="162"/>
      <c r="H45" s="162"/>
      <c r="I45" s="162"/>
      <c r="J45" s="162"/>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row>
    <row r="46" spans="1:55" s="125" customFormat="1" x14ac:dyDescent="0.2">
      <c r="A46" s="162"/>
      <c r="B46" s="141"/>
      <c r="C46" s="162"/>
      <c r="D46" s="162"/>
      <c r="E46" s="162"/>
      <c r="F46" s="162"/>
      <c r="G46" s="162"/>
      <c r="H46" s="162"/>
      <c r="I46" s="162"/>
      <c r="J46" s="162"/>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row>
    <row r="47" spans="1:55" s="125" customFormat="1" x14ac:dyDescent="0.2">
      <c r="A47" s="162"/>
      <c r="C47" s="162"/>
      <c r="D47" s="162"/>
      <c r="E47" s="162"/>
      <c r="F47" s="162"/>
      <c r="G47" s="162"/>
      <c r="H47" s="162"/>
      <c r="I47" s="162"/>
      <c r="J47" s="162"/>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row>
    <row r="48" spans="1:55" s="125" customFormat="1" x14ac:dyDescent="0.2">
      <c r="A48" s="162"/>
      <c r="B48" s="141"/>
      <c r="C48" s="162"/>
      <c r="D48" s="162"/>
      <c r="E48" s="162"/>
      <c r="F48" s="162"/>
      <c r="G48" s="162"/>
      <c r="H48" s="162"/>
      <c r="I48" s="162"/>
      <c r="J48" s="162"/>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row>
    <row r="49" spans="1:53" s="125" customFormat="1" x14ac:dyDescent="0.2">
      <c r="A49" s="162"/>
      <c r="B49" s="141"/>
      <c r="C49" s="162"/>
      <c r="D49" s="162"/>
      <c r="E49" s="162"/>
      <c r="F49" s="162"/>
      <c r="G49" s="162"/>
      <c r="H49" s="162"/>
      <c r="I49" s="162"/>
      <c r="J49" s="162"/>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row>
    <row r="50" spans="1:53" s="125" customFormat="1" x14ac:dyDescent="0.2">
      <c r="A50" s="162"/>
      <c r="B50" s="160"/>
      <c r="C50" s="162"/>
      <c r="D50" s="162"/>
      <c r="E50" s="162"/>
      <c r="F50" s="162"/>
      <c r="G50" s="162"/>
      <c r="H50" s="162"/>
      <c r="I50" s="162"/>
      <c r="J50" s="162"/>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row>
    <row r="51" spans="1:53" s="125" customFormat="1" x14ac:dyDescent="0.2">
      <c r="A51" s="162"/>
      <c r="B51" s="141"/>
      <c r="C51" s="162"/>
      <c r="D51" s="162"/>
      <c r="E51" s="162"/>
      <c r="F51" s="162"/>
      <c r="G51" s="162"/>
      <c r="H51" s="162"/>
      <c r="I51" s="162"/>
      <c r="J51" s="162"/>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row>
    <row r="52" spans="1:53" s="125" customFormat="1" x14ac:dyDescent="0.2">
      <c r="A52" s="162"/>
      <c r="B52" s="166"/>
      <c r="C52" s="162"/>
      <c r="D52" s="162"/>
      <c r="E52" s="162"/>
      <c r="F52" s="162"/>
      <c r="G52" s="162"/>
      <c r="H52" s="162"/>
      <c r="I52" s="162"/>
      <c r="J52" s="162"/>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row>
    <row r="53" spans="1:53" s="125" customFormat="1" x14ac:dyDescent="0.2">
      <c r="A53" s="520"/>
      <c r="B53" s="521"/>
      <c r="C53" s="162"/>
      <c r="D53" s="162"/>
      <c r="E53" s="162"/>
      <c r="F53" s="162"/>
      <c r="G53" s="162"/>
      <c r="H53" s="162"/>
      <c r="I53" s="162"/>
      <c r="J53" s="162"/>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row>
    <row r="54" spans="1:53" s="125" customFormat="1" x14ac:dyDescent="0.2">
      <c r="A54" s="522"/>
      <c r="B54" s="522"/>
      <c r="C54" s="162"/>
      <c r="D54" s="162"/>
      <c r="E54" s="162"/>
      <c r="F54" s="162"/>
      <c r="G54" s="162"/>
      <c r="H54" s="162"/>
      <c r="I54" s="162"/>
      <c r="J54" s="162"/>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row>
    <row r="55" spans="1:53" s="125" customFormat="1" x14ac:dyDescent="0.2">
      <c r="A55" s="142"/>
      <c r="B55" s="142"/>
      <c r="C55" s="142"/>
      <c r="D55" s="142"/>
      <c r="E55" s="142"/>
      <c r="F55" s="142"/>
      <c r="G55" s="142"/>
      <c r="H55" s="142"/>
      <c r="I55" s="142"/>
      <c r="J55" s="142"/>
    </row>
    <row r="56" spans="1:53" s="125" customFormat="1" x14ac:dyDescent="0.2">
      <c r="A56" s="518"/>
      <c r="B56" s="518"/>
      <c r="C56" s="142"/>
      <c r="D56" s="142"/>
      <c r="E56" s="142"/>
      <c r="F56" s="142"/>
      <c r="G56" s="142"/>
      <c r="H56" s="142"/>
      <c r="I56" s="142"/>
      <c r="J56" s="142"/>
    </row>
    <row r="57" spans="1:53" s="125" customFormat="1" x14ac:dyDescent="0.2">
      <c r="A57" s="523"/>
      <c r="B57" s="524"/>
      <c r="C57" s="524"/>
      <c r="D57" s="167"/>
      <c r="E57" s="167"/>
      <c r="F57" s="167"/>
      <c r="G57" s="167"/>
      <c r="H57" s="167"/>
      <c r="I57" s="167"/>
      <c r="J57" s="167"/>
    </row>
    <row r="58" spans="1:53" s="125" customFormat="1" x14ac:dyDescent="0.2">
      <c r="A58" s="142"/>
      <c r="B58" s="142"/>
      <c r="C58" s="142"/>
      <c r="D58" s="142"/>
      <c r="E58" s="142"/>
      <c r="F58" s="142"/>
      <c r="G58" s="142"/>
      <c r="H58" s="142"/>
      <c r="I58" s="142"/>
      <c r="J58" s="142"/>
    </row>
    <row r="59" spans="1:53" s="125" customFormat="1" x14ac:dyDescent="0.2">
      <c r="A59" s="518"/>
      <c r="B59" s="518"/>
      <c r="C59" s="142"/>
      <c r="D59" s="142"/>
      <c r="E59" s="142"/>
      <c r="F59" s="142"/>
      <c r="G59" s="142"/>
      <c r="H59" s="142"/>
      <c r="I59" s="142"/>
      <c r="J59" s="142"/>
    </row>
    <row r="60" spans="1:53" s="125" customFormat="1" x14ac:dyDescent="0.2">
      <c r="C60" s="142"/>
      <c r="D60" s="142"/>
      <c r="E60" s="142"/>
      <c r="F60" s="142"/>
      <c r="G60" s="142"/>
      <c r="H60" s="142"/>
      <c r="I60" s="142"/>
      <c r="J60" s="142"/>
    </row>
    <row r="61" spans="1:53" s="125" customFormat="1" x14ac:dyDescent="0.2">
      <c r="A61" s="168"/>
      <c r="C61" s="142"/>
      <c r="D61" s="142"/>
      <c r="E61" s="142"/>
      <c r="F61" s="142"/>
      <c r="G61" s="142"/>
      <c r="H61" s="142"/>
      <c r="I61" s="142"/>
      <c r="J61" s="142"/>
    </row>
    <row r="62" spans="1:53" s="125" customFormat="1" x14ac:dyDescent="0.2">
      <c r="A62" s="168"/>
      <c r="C62" s="142"/>
      <c r="D62" s="142"/>
      <c r="E62" s="142"/>
      <c r="F62" s="142"/>
      <c r="G62" s="142"/>
      <c r="H62" s="142"/>
      <c r="I62" s="142"/>
      <c r="J62" s="142"/>
    </row>
    <row r="63" spans="1:53" x14ac:dyDescent="0.2">
      <c r="A63" s="58"/>
      <c r="C63" s="52"/>
      <c r="D63" s="52"/>
      <c r="E63" s="52"/>
      <c r="F63" s="52"/>
      <c r="G63" s="52"/>
      <c r="H63" s="52"/>
      <c r="I63" s="52"/>
      <c r="J63" s="52"/>
    </row>
    <row r="64" spans="1:53" x14ac:dyDescent="0.2">
      <c r="A64" s="58"/>
      <c r="C64" s="52"/>
      <c r="D64" s="52"/>
      <c r="E64" s="52"/>
      <c r="F64" s="52"/>
      <c r="G64" s="52"/>
      <c r="H64" s="52"/>
      <c r="I64" s="52"/>
      <c r="J64" s="52"/>
    </row>
    <row r="65" spans="1:10" x14ac:dyDescent="0.2">
      <c r="A65" s="58"/>
      <c r="C65" s="52"/>
      <c r="D65" s="52"/>
      <c r="E65" s="52"/>
      <c r="F65" s="52"/>
      <c r="G65" s="52"/>
      <c r="H65" s="52"/>
      <c r="I65" s="52"/>
      <c r="J65" s="52"/>
    </row>
    <row r="66" spans="1:10" x14ac:dyDescent="0.2">
      <c r="A66" s="58"/>
      <c r="C66" s="52"/>
      <c r="D66" s="52"/>
      <c r="E66" s="52"/>
      <c r="F66" s="52"/>
      <c r="G66" s="52"/>
      <c r="H66" s="52"/>
      <c r="I66" s="52"/>
      <c r="J66" s="52"/>
    </row>
    <row r="67" spans="1:10" x14ac:dyDescent="0.2">
      <c r="A67" s="507"/>
      <c r="B67" s="519"/>
      <c r="C67" s="519"/>
      <c r="D67" s="519"/>
      <c r="E67" s="519"/>
      <c r="F67" s="519"/>
      <c r="G67" s="519"/>
      <c r="H67" s="519"/>
      <c r="I67" s="519"/>
      <c r="J67" s="519"/>
    </row>
    <row r="68" spans="1:10" x14ac:dyDescent="0.2">
      <c r="A68" s="508" t="s">
        <v>250</v>
      </c>
      <c r="B68" s="508"/>
      <c r="C68" s="52"/>
      <c r="D68" s="52"/>
      <c r="E68" s="52"/>
      <c r="F68" s="52"/>
      <c r="G68" s="52"/>
      <c r="H68" s="52"/>
      <c r="I68" s="52"/>
      <c r="J68" s="52"/>
    </row>
    <row r="69" spans="1:10" x14ac:dyDescent="0.2">
      <c r="A69" s="507" t="s">
        <v>251</v>
      </c>
      <c r="B69" s="507"/>
      <c r="C69" s="507"/>
      <c r="D69" s="507"/>
      <c r="E69" s="507"/>
      <c r="F69" s="57"/>
      <c r="G69" s="57"/>
      <c r="H69" s="57"/>
      <c r="I69" s="57"/>
      <c r="J69" s="57"/>
    </row>
    <row r="70" spans="1:10" x14ac:dyDescent="0.2">
      <c r="A70" s="507"/>
      <c r="B70" s="507"/>
      <c r="C70" s="507"/>
      <c r="D70" s="507"/>
      <c r="E70" s="507"/>
      <c r="F70" s="57"/>
      <c r="G70" s="57"/>
      <c r="H70" s="57"/>
      <c r="I70" s="57"/>
      <c r="J70" s="57"/>
    </row>
    <row r="71" spans="1:10" x14ac:dyDescent="0.2">
      <c r="A71" s="507"/>
      <c r="B71" s="507"/>
      <c r="C71" s="507"/>
      <c r="D71" s="507"/>
      <c r="E71" s="507"/>
      <c r="F71" s="57"/>
      <c r="G71" s="57"/>
      <c r="H71" s="57"/>
      <c r="I71" s="57"/>
      <c r="J71" s="57"/>
    </row>
    <row r="72" spans="1:10" x14ac:dyDescent="0.2">
      <c r="A72" s="507"/>
      <c r="B72" s="507"/>
      <c r="C72" s="507"/>
      <c r="D72" s="507"/>
      <c r="E72" s="507"/>
      <c r="F72" s="57"/>
      <c r="G72" s="57"/>
      <c r="H72" s="57"/>
      <c r="I72" s="57"/>
      <c r="J72" s="57"/>
    </row>
    <row r="73" spans="1:10" x14ac:dyDescent="0.2">
      <c r="A73" s="507"/>
      <c r="B73" s="507"/>
      <c r="C73" s="507"/>
      <c r="D73" s="507"/>
      <c r="E73" s="507"/>
      <c r="F73" s="57"/>
      <c r="G73" s="57"/>
      <c r="H73" s="57"/>
      <c r="I73" s="57"/>
      <c r="J73" s="57"/>
    </row>
  </sheetData>
  <mergeCells count="10">
    <mergeCell ref="A59:B59"/>
    <mergeCell ref="A67:J67"/>
    <mergeCell ref="A68:B68"/>
    <mergeCell ref="A69:E73"/>
    <mergeCell ref="A30:B30"/>
    <mergeCell ref="A41:B41"/>
    <mergeCell ref="A53:B53"/>
    <mergeCell ref="A54:B54"/>
    <mergeCell ref="A56:B56"/>
    <mergeCell ref="A57:C57"/>
  </mergeCells>
  <phoneticPr fontId="103" type="noConversion"/>
  <hyperlinks>
    <hyperlink ref="B20" r:id="rId1"/>
    <hyperlink ref="B24" r:id="rId2"/>
    <hyperlink ref="B21" r:id="rId3"/>
  </hyperlinks>
  <pageMargins left="0.75" right="0.75" top="1" bottom="1" header="0.3" footer="0.3"/>
  <pageSetup orientation="portrait" horizontalDpi="4294967292" verticalDpi="429496729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84"/>
  <sheetViews>
    <sheetView workbookViewId="0">
      <selection activeCell="E17" sqref="E17"/>
    </sheetView>
  </sheetViews>
  <sheetFormatPr baseColWidth="10" defaultColWidth="8.83203125" defaultRowHeight="16" x14ac:dyDescent="0.2"/>
  <cols>
    <col min="2" max="2" width="40.1640625" customWidth="1"/>
    <col min="3" max="3" width="21.83203125" customWidth="1"/>
    <col min="4" max="4" width="13.6640625" bestFit="1" customWidth="1"/>
    <col min="5" max="5" width="21.33203125" bestFit="1" customWidth="1"/>
    <col min="6" max="6" width="19.33203125" bestFit="1" customWidth="1"/>
    <col min="7" max="9" width="18.1640625" bestFit="1" customWidth="1"/>
    <col min="10" max="10" width="19.33203125" bestFit="1" customWidth="1"/>
    <col min="11" max="13" width="18.1640625" bestFit="1" customWidth="1"/>
    <col min="14" max="15" width="19.33203125" bestFit="1" customWidth="1"/>
    <col min="16" max="17" width="18.1640625" bestFit="1" customWidth="1"/>
    <col min="18" max="19" width="19.33203125" bestFit="1" customWidth="1"/>
    <col min="20" max="21" width="18.1640625" bestFit="1" customWidth="1"/>
    <col min="22" max="23" width="19.33203125" bestFit="1" customWidth="1"/>
    <col min="24" max="26" width="18.1640625" bestFit="1" customWidth="1"/>
    <col min="27" max="28" width="19.33203125" bestFit="1" customWidth="1"/>
    <col min="29" max="29" width="18.1640625" bestFit="1" customWidth="1"/>
    <col min="30" max="30" width="19.33203125" bestFit="1" customWidth="1"/>
    <col min="31" max="34" width="18.1640625" bestFit="1" customWidth="1"/>
    <col min="35" max="35" width="19.33203125" bestFit="1" customWidth="1"/>
    <col min="36" max="36" width="18.1640625" bestFit="1" customWidth="1"/>
    <col min="37" max="38" width="19.33203125" bestFit="1" customWidth="1"/>
    <col min="39" max="39" width="18.1640625" bestFit="1" customWidth="1"/>
    <col min="40" max="41" width="19.33203125" bestFit="1" customWidth="1"/>
    <col min="42" max="42" width="18.1640625" bestFit="1" customWidth="1"/>
    <col min="43" max="43" width="19.33203125" bestFit="1" customWidth="1"/>
    <col min="44" max="46" width="18.1640625" bestFit="1" customWidth="1"/>
    <col min="47" max="48" width="19.33203125" bestFit="1" customWidth="1"/>
    <col min="49" max="49" width="18.1640625" bestFit="1" customWidth="1"/>
    <col min="50" max="50" width="16.83203125" bestFit="1" customWidth="1"/>
    <col min="51" max="51" width="19.33203125" bestFit="1" customWidth="1"/>
    <col min="52" max="52" width="18.1640625" bestFit="1" customWidth="1"/>
    <col min="53" max="54" width="19.33203125" bestFit="1" customWidth="1"/>
    <col min="55" max="55" width="18.1640625" bestFit="1" customWidth="1"/>
    <col min="56" max="56" width="19.6640625" customWidth="1"/>
  </cols>
  <sheetData>
    <row r="1" spans="1:55" x14ac:dyDescent="0.2">
      <c r="B1" s="3">
        <v>2011</v>
      </c>
      <c r="C1" s="3" t="s">
        <v>387</v>
      </c>
      <c r="D1" s="3" t="s">
        <v>388</v>
      </c>
      <c r="E1" s="6"/>
      <c r="F1" s="3">
        <v>1</v>
      </c>
      <c r="G1" s="3">
        <f>F1+1</f>
        <v>2</v>
      </c>
      <c r="H1" s="3">
        <f t="shared" ref="H1:M1" si="0">G1+1</f>
        <v>3</v>
      </c>
      <c r="I1" s="3">
        <f t="shared" si="0"/>
        <v>4</v>
      </c>
      <c r="J1" s="3">
        <f t="shared" si="0"/>
        <v>5</v>
      </c>
      <c r="K1" s="3">
        <f t="shared" si="0"/>
        <v>6</v>
      </c>
      <c r="L1" s="3">
        <f t="shared" si="0"/>
        <v>7</v>
      </c>
      <c r="M1" s="3">
        <f t="shared" si="0"/>
        <v>8</v>
      </c>
      <c r="N1" s="3">
        <f t="shared" ref="N1" si="1">M1+1</f>
        <v>9</v>
      </c>
      <c r="O1" s="3">
        <f t="shared" ref="O1" si="2">N1+1</f>
        <v>10</v>
      </c>
      <c r="P1" s="3">
        <f t="shared" ref="P1" si="3">O1+1</f>
        <v>11</v>
      </c>
      <c r="Q1" s="3">
        <f t="shared" ref="Q1" si="4">P1+1</f>
        <v>12</v>
      </c>
      <c r="R1" s="3">
        <f t="shared" ref="R1" si="5">Q1+1</f>
        <v>13</v>
      </c>
      <c r="S1" s="3">
        <f t="shared" ref="S1" si="6">R1+1</f>
        <v>14</v>
      </c>
      <c r="T1" s="3">
        <f t="shared" ref="T1" si="7">S1+1</f>
        <v>15</v>
      </c>
      <c r="U1" s="3">
        <f t="shared" ref="U1" si="8">T1+1</f>
        <v>16</v>
      </c>
      <c r="V1" s="3">
        <f t="shared" ref="V1" si="9">U1+1</f>
        <v>17</v>
      </c>
      <c r="W1" s="3">
        <f t="shared" ref="W1" si="10">V1+1</f>
        <v>18</v>
      </c>
      <c r="X1" s="3">
        <f t="shared" ref="X1" si="11">W1+1</f>
        <v>19</v>
      </c>
      <c r="Y1" s="3">
        <f t="shared" ref="Y1" si="12">X1+1</f>
        <v>20</v>
      </c>
      <c r="Z1" s="3">
        <f t="shared" ref="Z1" si="13">Y1+1</f>
        <v>21</v>
      </c>
      <c r="AA1" s="3">
        <f t="shared" ref="AA1" si="14">Z1+1</f>
        <v>22</v>
      </c>
      <c r="AB1" s="3">
        <f t="shared" ref="AB1" si="15">AA1+1</f>
        <v>23</v>
      </c>
      <c r="AC1" s="3">
        <f t="shared" ref="AC1" si="16">AB1+1</f>
        <v>24</v>
      </c>
      <c r="AD1" s="3">
        <f t="shared" ref="AD1" si="17">AC1+1</f>
        <v>25</v>
      </c>
      <c r="AE1" s="3">
        <f t="shared" ref="AE1" si="18">AD1+1</f>
        <v>26</v>
      </c>
      <c r="AF1" s="3">
        <f t="shared" ref="AF1" si="19">AE1+1</f>
        <v>27</v>
      </c>
      <c r="AG1" s="3">
        <f t="shared" ref="AG1" si="20">AF1+1</f>
        <v>28</v>
      </c>
      <c r="AH1" s="3">
        <f t="shared" ref="AH1" si="21">AG1+1</f>
        <v>29</v>
      </c>
      <c r="AI1" s="3">
        <f t="shared" ref="AI1" si="22">AH1+1</f>
        <v>30</v>
      </c>
      <c r="AJ1" s="3">
        <f t="shared" ref="AJ1" si="23">AI1+1</f>
        <v>31</v>
      </c>
      <c r="AK1" s="3">
        <f t="shared" ref="AK1" si="24">AJ1+1</f>
        <v>32</v>
      </c>
      <c r="AL1" s="3">
        <f t="shared" ref="AL1" si="25">AK1+1</f>
        <v>33</v>
      </c>
      <c r="AM1" s="3">
        <f t="shared" ref="AM1" si="26">AL1+1</f>
        <v>34</v>
      </c>
      <c r="AN1" s="3">
        <f t="shared" ref="AN1" si="27">AM1+1</f>
        <v>35</v>
      </c>
      <c r="AO1" s="3">
        <f t="shared" ref="AO1" si="28">AN1+1</f>
        <v>36</v>
      </c>
      <c r="AP1" s="3">
        <f t="shared" ref="AP1" si="29">AO1+1</f>
        <v>37</v>
      </c>
      <c r="AQ1" s="3">
        <f t="shared" ref="AQ1" si="30">AP1+1</f>
        <v>38</v>
      </c>
      <c r="AR1" s="3">
        <f t="shared" ref="AR1" si="31">AQ1+1</f>
        <v>39</v>
      </c>
      <c r="AS1" s="3">
        <f t="shared" ref="AS1" si="32">AR1+1</f>
        <v>40</v>
      </c>
      <c r="AT1" s="3">
        <f t="shared" ref="AT1" si="33">AS1+1</f>
        <v>41</v>
      </c>
      <c r="AU1" s="3">
        <f t="shared" ref="AU1" si="34">AT1+1</f>
        <v>42</v>
      </c>
      <c r="AV1" s="3">
        <f t="shared" ref="AV1" si="35">AU1+1</f>
        <v>43</v>
      </c>
      <c r="AW1" s="3">
        <f t="shared" ref="AW1" si="36">AV1+1</f>
        <v>44</v>
      </c>
      <c r="AX1" s="3">
        <f t="shared" ref="AX1" si="37">AW1+1</f>
        <v>45</v>
      </c>
      <c r="AY1" s="3">
        <f t="shared" ref="AY1" si="38">AX1+1</f>
        <v>46</v>
      </c>
      <c r="AZ1" s="3">
        <f t="shared" ref="AZ1" si="39">AY1+1</f>
        <v>47</v>
      </c>
      <c r="BA1" s="3">
        <f t="shared" ref="BA1" si="40">AZ1+1</f>
        <v>48</v>
      </c>
      <c r="BB1" s="3">
        <f t="shared" ref="BB1" si="41">BA1+1</f>
        <v>49</v>
      </c>
      <c r="BC1" s="3">
        <f t="shared" ref="BC1" si="42">BB1+1</f>
        <v>50</v>
      </c>
    </row>
    <row r="2" spans="1:55" x14ac:dyDescent="0.2">
      <c r="B2" s="3"/>
      <c r="C2" s="3"/>
      <c r="D2" s="3"/>
      <c r="E2" s="6" t="s">
        <v>95</v>
      </c>
      <c r="F2" s="4" t="s">
        <v>144</v>
      </c>
      <c r="G2" s="4" t="s">
        <v>145</v>
      </c>
      <c r="H2" s="4" t="s">
        <v>146</v>
      </c>
      <c r="I2" s="4" t="s">
        <v>147</v>
      </c>
      <c r="J2" s="4" t="s">
        <v>148</v>
      </c>
      <c r="K2" s="4" t="s">
        <v>149</v>
      </c>
      <c r="L2" s="4" t="s">
        <v>150</v>
      </c>
      <c r="M2" s="4" t="s">
        <v>151</v>
      </c>
      <c r="N2" s="4" t="s">
        <v>152</v>
      </c>
      <c r="O2" s="4" t="s">
        <v>153</v>
      </c>
      <c r="P2" s="4" t="s">
        <v>154</v>
      </c>
      <c r="Q2" s="4" t="s">
        <v>155</v>
      </c>
      <c r="R2" s="4" t="s">
        <v>156</v>
      </c>
      <c r="S2" s="4" t="s">
        <v>2</v>
      </c>
      <c r="T2" s="4" t="s">
        <v>3</v>
      </c>
      <c r="U2" s="4" t="s">
        <v>4</v>
      </c>
      <c r="V2" s="4" t="s">
        <v>5</v>
      </c>
      <c r="W2" s="4" t="s">
        <v>6</v>
      </c>
      <c r="X2" s="4" t="s">
        <v>7</v>
      </c>
      <c r="Y2" s="4" t="s">
        <v>8</v>
      </c>
      <c r="Z2" s="4" t="s">
        <v>9</v>
      </c>
      <c r="AA2" s="4" t="s">
        <v>10</v>
      </c>
      <c r="AB2" s="4" t="s">
        <v>11</v>
      </c>
      <c r="AC2" s="4" t="s">
        <v>12</v>
      </c>
      <c r="AD2" s="4" t="s">
        <v>13</v>
      </c>
      <c r="AE2" s="4" t="s">
        <v>14</v>
      </c>
      <c r="AF2" s="4" t="s">
        <v>15</v>
      </c>
      <c r="AG2" s="4" t="s">
        <v>16</v>
      </c>
      <c r="AH2" s="4" t="s">
        <v>17</v>
      </c>
      <c r="AI2" s="4" t="s">
        <v>18</v>
      </c>
      <c r="AJ2" s="4" t="s">
        <v>19</v>
      </c>
      <c r="AK2" s="4" t="s">
        <v>20</v>
      </c>
      <c r="AL2" s="4" t="s">
        <v>21</v>
      </c>
      <c r="AM2" s="4" t="s">
        <v>22</v>
      </c>
      <c r="AN2" s="4" t="s">
        <v>23</v>
      </c>
      <c r="AO2" s="4" t="s">
        <v>24</v>
      </c>
      <c r="AP2" s="4" t="s">
        <v>25</v>
      </c>
      <c r="AQ2" s="4" t="s">
        <v>26</v>
      </c>
      <c r="AR2" s="4" t="s">
        <v>27</v>
      </c>
      <c r="AS2" s="4" t="s">
        <v>28</v>
      </c>
      <c r="AT2" s="4" t="s">
        <v>29</v>
      </c>
      <c r="AU2" s="4" t="s">
        <v>30</v>
      </c>
      <c r="AV2" s="4" t="s">
        <v>31</v>
      </c>
      <c r="AW2" s="4" t="s">
        <v>32</v>
      </c>
      <c r="AX2" s="4" t="s">
        <v>33</v>
      </c>
      <c r="AY2" s="4" t="s">
        <v>34</v>
      </c>
      <c r="AZ2" s="4" t="s">
        <v>35</v>
      </c>
      <c r="BA2" s="4" t="s">
        <v>36</v>
      </c>
      <c r="BB2" s="4" t="s">
        <v>37</v>
      </c>
      <c r="BC2" s="4" t="s">
        <v>38</v>
      </c>
    </row>
    <row r="3" spans="1:55" x14ac:dyDescent="0.2">
      <c r="B3" s="3"/>
      <c r="C3" s="3"/>
      <c r="D3" s="3"/>
      <c r="E3" s="6" t="s">
        <v>96</v>
      </c>
      <c r="F3" s="3" t="s">
        <v>39</v>
      </c>
      <c r="G3" s="3" t="s">
        <v>40</v>
      </c>
      <c r="H3" s="3" t="s">
        <v>41</v>
      </c>
      <c r="I3" s="3" t="s">
        <v>42</v>
      </c>
      <c r="J3" s="3" t="s">
        <v>43</v>
      </c>
      <c r="K3" s="3" t="s">
        <v>44</v>
      </c>
      <c r="L3" s="3" t="s">
        <v>45</v>
      </c>
      <c r="M3" s="3" t="s">
        <v>46</v>
      </c>
      <c r="N3" s="3" t="s">
        <v>47</v>
      </c>
      <c r="O3" s="3" t="s">
        <v>48</v>
      </c>
      <c r="P3" s="3" t="s">
        <v>49</v>
      </c>
      <c r="Q3" s="3" t="s">
        <v>50</v>
      </c>
      <c r="R3" s="3" t="s">
        <v>51</v>
      </c>
      <c r="S3" s="3" t="s">
        <v>52</v>
      </c>
      <c r="T3" s="3" t="s">
        <v>53</v>
      </c>
      <c r="U3" s="3" t="s">
        <v>54</v>
      </c>
      <c r="V3" s="3" t="s">
        <v>55</v>
      </c>
      <c r="W3" s="3" t="s">
        <v>56</v>
      </c>
      <c r="X3" s="3" t="s">
        <v>57</v>
      </c>
      <c r="Y3" s="3" t="s">
        <v>58</v>
      </c>
      <c r="Z3" s="3" t="s">
        <v>59</v>
      </c>
      <c r="AA3" s="3" t="s">
        <v>60</v>
      </c>
      <c r="AB3" s="3" t="s">
        <v>61</v>
      </c>
      <c r="AC3" s="3" t="s">
        <v>62</v>
      </c>
      <c r="AD3" s="3" t="s">
        <v>63</v>
      </c>
      <c r="AE3" s="3" t="s">
        <v>64</v>
      </c>
      <c r="AF3" s="3" t="s">
        <v>65</v>
      </c>
      <c r="AG3" s="3" t="s">
        <v>66</v>
      </c>
      <c r="AH3" s="3" t="s">
        <v>67</v>
      </c>
      <c r="AI3" s="3" t="s">
        <v>68</v>
      </c>
      <c r="AJ3" s="3" t="s">
        <v>69</v>
      </c>
      <c r="AK3" s="3" t="s">
        <v>70</v>
      </c>
      <c r="AL3" s="3" t="s">
        <v>71</v>
      </c>
      <c r="AM3" s="3" t="s">
        <v>72</v>
      </c>
      <c r="AN3" s="3" t="s">
        <v>73</v>
      </c>
      <c r="AO3" s="3" t="s">
        <v>74</v>
      </c>
      <c r="AP3" s="3" t="s">
        <v>75</v>
      </c>
      <c r="AQ3" s="3" t="s">
        <v>76</v>
      </c>
      <c r="AR3" s="3" t="s">
        <v>77</v>
      </c>
      <c r="AS3" s="3" t="s">
        <v>78</v>
      </c>
      <c r="AT3" s="3" t="s">
        <v>79</v>
      </c>
      <c r="AU3" s="3" t="s">
        <v>80</v>
      </c>
      <c r="AV3" s="3" t="s">
        <v>81</v>
      </c>
      <c r="AW3" s="3" t="s">
        <v>82</v>
      </c>
      <c r="AX3" s="3" t="s">
        <v>83</v>
      </c>
      <c r="AY3" s="3" t="s">
        <v>84</v>
      </c>
      <c r="AZ3" s="3" t="s">
        <v>85</v>
      </c>
      <c r="BA3" s="3" t="s">
        <v>86</v>
      </c>
      <c r="BB3" s="3" t="s">
        <v>87</v>
      </c>
      <c r="BC3" s="3" t="s">
        <v>88</v>
      </c>
    </row>
    <row r="4" spans="1:55" x14ac:dyDescent="0.2">
      <c r="A4" s="72">
        <v>1</v>
      </c>
      <c r="B4" s="216" t="s">
        <v>781</v>
      </c>
      <c r="C4" s="81"/>
      <c r="D4" s="82"/>
      <c r="E4" s="211">
        <f>E17*$E18/1000000000</f>
        <v>776.28191266804151</v>
      </c>
      <c r="F4" s="211">
        <f>F17*$E18/1000000000</f>
        <v>19.329560886145664</v>
      </c>
      <c r="G4" s="211">
        <f t="shared" ref="G4:BC4" si="43">G17*$E18/1000000000</f>
        <v>5.0489751351029746</v>
      </c>
      <c r="H4" s="211">
        <f t="shared" si="43"/>
        <v>12.516908302818303</v>
      </c>
      <c r="I4" s="211">
        <f t="shared" si="43"/>
        <v>10.023105351912577</v>
      </c>
      <c r="J4" s="211">
        <f t="shared" si="43"/>
        <v>49.326766641270268</v>
      </c>
      <c r="K4" s="211">
        <f t="shared" si="43"/>
        <v>12.441355054679935</v>
      </c>
      <c r="L4" s="211">
        <f t="shared" si="43"/>
        <v>4.9028733955998716</v>
      </c>
      <c r="M4" s="211">
        <f t="shared" si="43"/>
        <v>1.7710104039147518</v>
      </c>
      <c r="N4" s="211">
        <f t="shared" si="43"/>
        <v>32.652780791858298</v>
      </c>
      <c r="O4" s="211">
        <f t="shared" si="43"/>
        <v>22.770807258569217</v>
      </c>
      <c r="P4" s="211">
        <f t="shared" si="43"/>
        <v>2.5798185792135677</v>
      </c>
      <c r="Q4" s="211">
        <f t="shared" si="43"/>
        <v>2.4960034182110715</v>
      </c>
      <c r="R4" s="211">
        <f t="shared" si="43"/>
        <v>31.572496494492796</v>
      </c>
      <c r="S4" s="211">
        <f t="shared" si="43"/>
        <v>28.511425845430526</v>
      </c>
      <c r="T4" s="211">
        <f t="shared" si="43"/>
        <v>11.940345226941824</v>
      </c>
      <c r="U4" s="211">
        <f t="shared" si="43"/>
        <v>10.073832219582208</v>
      </c>
      <c r="V4" s="211">
        <f t="shared" si="43"/>
        <v>20.189821676906114</v>
      </c>
      <c r="W4" s="211">
        <f t="shared" si="43"/>
        <v>32.678745144864898</v>
      </c>
      <c r="X4" s="211">
        <f t="shared" si="43"/>
        <v>3.5426710778511361</v>
      </c>
      <c r="Y4" s="211">
        <f t="shared" si="43"/>
        <v>9.1713561312567062</v>
      </c>
      <c r="Z4" s="211">
        <f t="shared" si="43"/>
        <v>9.4373978538568934</v>
      </c>
      <c r="AA4" s="211">
        <f t="shared" si="43"/>
        <v>22.463717240853505</v>
      </c>
      <c r="AB4" s="211">
        <f t="shared" si="43"/>
        <v>13.330053546922114</v>
      </c>
      <c r="AC4" s="211">
        <f t="shared" si="43"/>
        <v>8.8210057391554564</v>
      </c>
      <c r="AD4" s="211">
        <f t="shared" si="43"/>
        <v>18.551042520693763</v>
      </c>
      <c r="AE4" s="211">
        <f t="shared" si="43"/>
        <v>4.2763672596691196</v>
      </c>
      <c r="AF4" s="211">
        <f t="shared" si="43"/>
        <v>7.0409263908318707</v>
      </c>
      <c r="AG4" s="211">
        <f t="shared" si="43"/>
        <v>4.5243291532750076</v>
      </c>
      <c r="AH4" s="211">
        <f t="shared" si="43"/>
        <v>2.485494590182912</v>
      </c>
      <c r="AI4" s="211">
        <f t="shared" si="43"/>
        <v>15.847068815207164</v>
      </c>
      <c r="AJ4" s="211">
        <f t="shared" si="43"/>
        <v>7.7411626964474882</v>
      </c>
      <c r="AK4" s="211">
        <f t="shared" si="43"/>
        <v>22.653956058074879</v>
      </c>
      <c r="AL4" s="211">
        <f t="shared" si="43"/>
        <v>18.443753773106817</v>
      </c>
      <c r="AM4" s="211">
        <f t="shared" si="43"/>
        <v>7.1654240700627199</v>
      </c>
      <c r="AN4" s="211">
        <f t="shared" si="43"/>
        <v>32.460266029561211</v>
      </c>
      <c r="AO4" s="211">
        <f t="shared" si="43"/>
        <v>14.669354328261248</v>
      </c>
      <c r="AP4" s="211">
        <f t="shared" si="43"/>
        <v>5.5315219390126087</v>
      </c>
      <c r="AQ4" s="211">
        <f t="shared" si="43"/>
        <v>34.433858769143676</v>
      </c>
      <c r="AR4" s="211">
        <f t="shared" si="43"/>
        <v>1.48511222172544</v>
      </c>
      <c r="AS4" s="211">
        <f t="shared" si="43"/>
        <v>11.754565404154498</v>
      </c>
      <c r="AT4" s="211">
        <f t="shared" si="43"/>
        <v>2.0193090444961279</v>
      </c>
      <c r="AU4" s="211">
        <f t="shared" si="43"/>
        <v>14.843951829069441</v>
      </c>
      <c r="AV4" s="211">
        <f t="shared" si="43"/>
        <v>102.53158112404839</v>
      </c>
      <c r="AW4" s="211">
        <f t="shared" si="43"/>
        <v>8.611467836649215</v>
      </c>
      <c r="AX4" s="211">
        <f t="shared" si="43"/>
        <v>0.96170291413503994</v>
      </c>
      <c r="AY4" s="211">
        <f t="shared" si="43"/>
        <v>14.326011756839552</v>
      </c>
      <c r="AZ4" s="211">
        <f t="shared" si="43"/>
        <v>10.444033265290239</v>
      </c>
      <c r="BA4" s="211">
        <f t="shared" si="43"/>
        <v>13.115441215854208</v>
      </c>
      <c r="BB4" s="211">
        <f t="shared" si="43"/>
        <v>14.258418510483841</v>
      </c>
      <c r="BC4" s="211">
        <f t="shared" si="43"/>
        <v>8.5129577343543037</v>
      </c>
    </row>
    <row r="5" spans="1:55" x14ac:dyDescent="0.2">
      <c r="A5" s="72">
        <v>2</v>
      </c>
      <c r="B5" s="215" t="s">
        <v>395</v>
      </c>
      <c r="C5" s="81"/>
      <c r="D5" s="491"/>
      <c r="E5" s="428">
        <f>SUM(F5:BC5)</f>
        <v>19663600</v>
      </c>
      <c r="F5" s="426">
        <v>651000</v>
      </c>
      <c r="G5" s="426">
        <v>15500</v>
      </c>
      <c r="H5" s="426">
        <v>459900</v>
      </c>
      <c r="I5" s="426">
        <v>306100</v>
      </c>
      <c r="J5" s="426">
        <v>55300</v>
      </c>
      <c r="K5" s="426">
        <v>368900</v>
      </c>
      <c r="L5" s="426">
        <v>6100</v>
      </c>
      <c r="M5" s="426">
        <v>17900</v>
      </c>
      <c r="N5" s="426">
        <v>552700</v>
      </c>
      <c r="O5" s="426">
        <v>634800</v>
      </c>
      <c r="P5" s="426">
        <v>16100</v>
      </c>
      <c r="Q5" s="426">
        <v>7800</v>
      </c>
      <c r="R5" s="426">
        <v>1052200</v>
      </c>
      <c r="S5" s="426">
        <v>1333400</v>
      </c>
      <c r="T5" s="426">
        <v>463100</v>
      </c>
      <c r="U5" s="426">
        <v>346500</v>
      </c>
      <c r="V5" s="426">
        <v>1010600</v>
      </c>
      <c r="W5" s="426">
        <v>270000</v>
      </c>
      <c r="X5" s="426">
        <v>1500</v>
      </c>
      <c r="Y5" s="426">
        <v>241200</v>
      </c>
      <c r="Z5" s="426">
        <v>43000</v>
      </c>
      <c r="AA5" s="426">
        <v>691100</v>
      </c>
      <c r="AB5" s="426">
        <v>315600</v>
      </c>
      <c r="AC5" s="426">
        <v>107500</v>
      </c>
      <c r="AD5" s="426">
        <v>825600</v>
      </c>
      <c r="AE5" s="426">
        <v>165700</v>
      </c>
      <c r="AF5" s="426">
        <v>285400</v>
      </c>
      <c r="AG5" s="426">
        <v>62700</v>
      </c>
      <c r="AH5" s="426">
        <v>24500</v>
      </c>
      <c r="AI5" s="426">
        <v>49600</v>
      </c>
      <c r="AJ5" s="426">
        <v>284700</v>
      </c>
      <c r="AK5" s="426">
        <v>125200</v>
      </c>
      <c r="AL5" s="426">
        <v>624800</v>
      </c>
      <c r="AM5" s="426">
        <v>394800</v>
      </c>
      <c r="AN5" s="426">
        <v>1222600</v>
      </c>
      <c r="AO5" s="426">
        <v>378300</v>
      </c>
      <c r="AP5" s="426">
        <v>35100</v>
      </c>
      <c r="AQ5" s="426">
        <v>1213000</v>
      </c>
      <c r="AR5" s="426">
        <v>0</v>
      </c>
      <c r="AS5" s="426">
        <v>366200</v>
      </c>
      <c r="AT5" s="426">
        <v>32100</v>
      </c>
      <c r="AU5" s="426">
        <v>481100</v>
      </c>
      <c r="AV5" s="426">
        <v>1695200</v>
      </c>
      <c r="AW5" s="426">
        <v>346200</v>
      </c>
      <c r="AX5" s="426">
        <v>0</v>
      </c>
      <c r="AY5" s="426">
        <v>288300</v>
      </c>
      <c r="AZ5" s="426">
        <v>57000</v>
      </c>
      <c r="BA5" s="426">
        <v>822600</v>
      </c>
      <c r="BB5" s="426">
        <v>447400</v>
      </c>
      <c r="BC5" s="426">
        <v>467700</v>
      </c>
    </row>
    <row r="6" spans="1:55" x14ac:dyDescent="0.2">
      <c r="A6" s="72">
        <v>3</v>
      </c>
      <c r="B6" s="215" t="s">
        <v>396</v>
      </c>
      <c r="C6" s="81"/>
      <c r="D6" s="491"/>
      <c r="E6" s="428">
        <f t="shared" ref="E6:E8" si="44">SUM(F6:BC6)</f>
        <v>24826300</v>
      </c>
      <c r="F6" s="426">
        <v>614800</v>
      </c>
      <c r="G6" s="426">
        <v>337000</v>
      </c>
      <c r="H6" s="426">
        <v>293700</v>
      </c>
      <c r="I6" s="426">
        <v>288600</v>
      </c>
      <c r="J6" s="426">
        <v>2196600</v>
      </c>
      <c r="K6" s="426">
        <v>476500</v>
      </c>
      <c r="L6" s="426">
        <v>235700</v>
      </c>
      <c r="M6" s="426">
        <v>81700</v>
      </c>
      <c r="N6" s="426">
        <v>1236600</v>
      </c>
      <c r="O6" s="426">
        <v>531600</v>
      </c>
      <c r="P6" s="426">
        <v>200</v>
      </c>
      <c r="Q6" s="426">
        <v>83900</v>
      </c>
      <c r="R6" s="426">
        <v>986400</v>
      </c>
      <c r="S6" s="426">
        <v>635200</v>
      </c>
      <c r="T6" s="426">
        <v>277600</v>
      </c>
      <c r="U6" s="426">
        <v>284600</v>
      </c>
      <c r="V6" s="426">
        <v>228600</v>
      </c>
      <c r="W6" s="426">
        <v>1502500</v>
      </c>
      <c r="X6" s="426">
        <v>74000</v>
      </c>
      <c r="Y6" s="426">
        <v>199100</v>
      </c>
      <c r="Z6" s="426">
        <v>461200</v>
      </c>
      <c r="AA6" s="426">
        <v>787300</v>
      </c>
      <c r="AB6" s="426">
        <v>425000</v>
      </c>
      <c r="AC6" s="426">
        <v>439000</v>
      </c>
      <c r="AD6" s="426">
        <v>274900</v>
      </c>
      <c r="AE6" s="426">
        <v>79500</v>
      </c>
      <c r="AF6" s="426">
        <v>173700</v>
      </c>
      <c r="AG6" s="426">
        <v>256300</v>
      </c>
      <c r="AH6" s="426">
        <v>72000</v>
      </c>
      <c r="AI6" s="426">
        <v>677400</v>
      </c>
      <c r="AJ6" s="426">
        <v>251900</v>
      </c>
      <c r="AK6" s="426">
        <v>1246900</v>
      </c>
      <c r="AL6" s="426">
        <v>311200</v>
      </c>
      <c r="AM6" s="426">
        <v>72200</v>
      </c>
      <c r="AN6" s="426">
        <v>845600</v>
      </c>
      <c r="AO6" s="426">
        <v>676900</v>
      </c>
      <c r="AP6" s="426">
        <v>203700</v>
      </c>
      <c r="AQ6" s="426">
        <v>998600</v>
      </c>
      <c r="AR6" s="426">
        <v>102500</v>
      </c>
      <c r="AS6" s="426">
        <v>235500</v>
      </c>
      <c r="AT6" s="426">
        <v>74000</v>
      </c>
      <c r="AU6" s="426">
        <v>258600</v>
      </c>
      <c r="AV6" s="426">
        <v>3756900</v>
      </c>
      <c r="AW6" s="426">
        <v>230600</v>
      </c>
      <c r="AX6" s="426">
        <v>8700</v>
      </c>
      <c r="AY6" s="426">
        <v>383200</v>
      </c>
      <c r="AZ6" s="426">
        <v>272200</v>
      </c>
      <c r="BA6" s="426">
        <v>124900</v>
      </c>
      <c r="BB6" s="426">
        <v>399200</v>
      </c>
      <c r="BC6" s="426">
        <v>161800</v>
      </c>
    </row>
    <row r="7" spans="1:55" x14ac:dyDescent="0.2">
      <c r="A7" s="72">
        <v>4</v>
      </c>
      <c r="B7" s="215" t="s">
        <v>397</v>
      </c>
      <c r="C7" s="81"/>
      <c r="D7" s="491"/>
      <c r="E7" s="428">
        <f t="shared" si="44"/>
        <v>35477800</v>
      </c>
      <c r="F7" s="426">
        <v>549500</v>
      </c>
      <c r="G7" s="426">
        <v>267100</v>
      </c>
      <c r="H7" s="426">
        <v>500900</v>
      </c>
      <c r="I7" s="426">
        <v>335700</v>
      </c>
      <c r="J7" s="426">
        <v>3405800</v>
      </c>
      <c r="K7" s="426">
        <v>472900</v>
      </c>
      <c r="L7" s="426">
        <v>315600</v>
      </c>
      <c r="M7" s="426">
        <v>101500</v>
      </c>
      <c r="N7" s="426">
        <v>1611900</v>
      </c>
      <c r="O7" s="426">
        <v>996600</v>
      </c>
      <c r="P7" s="426">
        <v>246200</v>
      </c>
      <c r="Q7" s="426">
        <v>161300</v>
      </c>
      <c r="R7" s="426">
        <v>1201300</v>
      </c>
      <c r="S7" s="426">
        <v>763600</v>
      </c>
      <c r="T7" s="426">
        <v>422600</v>
      </c>
      <c r="U7" s="426">
        <v>398100</v>
      </c>
      <c r="V7" s="426">
        <v>615500</v>
      </c>
      <c r="W7" s="426">
        <v>1908300</v>
      </c>
      <c r="X7" s="426">
        <v>190500</v>
      </c>
      <c r="Y7" s="426">
        <v>478500</v>
      </c>
      <c r="Z7" s="426">
        <v>570000</v>
      </c>
      <c r="AA7" s="426">
        <v>797200</v>
      </c>
      <c r="AB7" s="426">
        <v>605800</v>
      </c>
      <c r="AC7" s="426">
        <v>409000</v>
      </c>
      <c r="AD7" s="426">
        <v>642000</v>
      </c>
      <c r="AE7" s="426">
        <v>171900</v>
      </c>
      <c r="AF7" s="426">
        <v>234800</v>
      </c>
      <c r="AG7" s="426">
        <v>207600</v>
      </c>
      <c r="AH7" s="426">
        <v>148500</v>
      </c>
      <c r="AI7" s="426">
        <v>1095000</v>
      </c>
      <c r="AJ7" s="426">
        <v>252100</v>
      </c>
      <c r="AK7" s="426">
        <v>1255200</v>
      </c>
      <c r="AL7" s="426">
        <v>782800</v>
      </c>
      <c r="AM7" s="426">
        <v>183600</v>
      </c>
      <c r="AN7" s="426">
        <v>1156500</v>
      </c>
      <c r="AO7" s="426">
        <v>530600</v>
      </c>
      <c r="AP7" s="426">
        <v>339000</v>
      </c>
      <c r="AQ7" s="426">
        <v>1221300</v>
      </c>
      <c r="AR7" s="426">
        <v>79300</v>
      </c>
      <c r="AS7" s="426">
        <v>483000</v>
      </c>
      <c r="AT7" s="426">
        <v>116400</v>
      </c>
      <c r="AU7" s="426">
        <v>691000</v>
      </c>
      <c r="AV7" s="426">
        <v>5841700</v>
      </c>
      <c r="AW7" s="426">
        <v>285400</v>
      </c>
      <c r="AX7" s="426">
        <v>77300</v>
      </c>
      <c r="AY7" s="426">
        <v>759500</v>
      </c>
      <c r="AZ7" s="426">
        <v>724100</v>
      </c>
      <c r="BA7" s="426">
        <v>188300</v>
      </c>
      <c r="BB7" s="426">
        <v>520400</v>
      </c>
      <c r="BC7" s="426">
        <v>165100</v>
      </c>
    </row>
    <row r="8" spans="1:55" x14ac:dyDescent="0.2">
      <c r="A8" s="72">
        <v>5</v>
      </c>
      <c r="B8" s="215" t="s">
        <v>398</v>
      </c>
      <c r="C8" s="81"/>
      <c r="D8" s="491"/>
      <c r="E8" s="428">
        <f t="shared" si="44"/>
        <v>2472600</v>
      </c>
      <c r="F8" s="426">
        <v>158700</v>
      </c>
      <c r="G8" s="426">
        <v>2300</v>
      </c>
      <c r="H8" s="426">
        <v>6700</v>
      </c>
      <c r="I8" s="426">
        <v>93800</v>
      </c>
      <c r="J8" s="426">
        <v>148100</v>
      </c>
      <c r="K8" s="426">
        <v>10800</v>
      </c>
      <c r="L8" s="426">
        <v>22100</v>
      </c>
      <c r="M8" s="426">
        <v>3100</v>
      </c>
      <c r="N8" s="426">
        <v>189200</v>
      </c>
      <c r="O8" s="426">
        <v>164800</v>
      </c>
      <c r="P8" s="426">
        <v>7900</v>
      </c>
      <c r="Q8" s="426">
        <v>27600</v>
      </c>
      <c r="R8" s="426">
        <v>35500</v>
      </c>
      <c r="S8" s="426">
        <v>30400</v>
      </c>
      <c r="T8" s="426">
        <v>26200</v>
      </c>
      <c r="U8" s="426">
        <v>5900</v>
      </c>
      <c r="V8" s="426">
        <v>23100</v>
      </c>
      <c r="W8" s="426">
        <v>97300</v>
      </c>
      <c r="X8" s="426">
        <v>108300</v>
      </c>
      <c r="Y8" s="426">
        <v>28700</v>
      </c>
      <c r="Z8" s="426">
        <v>34300</v>
      </c>
      <c r="AA8" s="426">
        <v>82700</v>
      </c>
      <c r="AB8" s="426">
        <v>70100</v>
      </c>
      <c r="AC8" s="426">
        <v>54300</v>
      </c>
      <c r="AD8" s="426">
        <v>32000</v>
      </c>
      <c r="AE8" s="426">
        <v>5000</v>
      </c>
      <c r="AF8" s="426">
        <v>7600</v>
      </c>
      <c r="AG8" s="426">
        <v>2400</v>
      </c>
      <c r="AH8" s="426">
        <v>26100</v>
      </c>
      <c r="AI8" s="426">
        <v>29400</v>
      </c>
      <c r="AJ8" s="426">
        <v>7900</v>
      </c>
      <c r="AK8" s="426">
        <v>65000</v>
      </c>
      <c r="AL8" s="426">
        <v>105300</v>
      </c>
      <c r="AM8" s="426">
        <v>2500</v>
      </c>
      <c r="AN8" s="426">
        <v>49300</v>
      </c>
      <c r="AO8" s="426">
        <v>26400</v>
      </c>
      <c r="AP8" s="426">
        <v>45900</v>
      </c>
      <c r="AQ8" s="426">
        <v>86500</v>
      </c>
      <c r="AR8" s="426">
        <v>3000</v>
      </c>
      <c r="AS8" s="426">
        <v>92300</v>
      </c>
      <c r="AT8" s="426">
        <v>1900</v>
      </c>
      <c r="AU8" s="426">
        <v>54000</v>
      </c>
      <c r="AV8" s="426">
        <v>81200</v>
      </c>
      <c r="AW8" s="426">
        <v>2800</v>
      </c>
      <c r="AX8" s="426">
        <v>16000</v>
      </c>
      <c r="AY8" s="426">
        <v>87600</v>
      </c>
      <c r="AZ8" s="426">
        <v>97000</v>
      </c>
      <c r="BA8" s="426">
        <v>19900</v>
      </c>
      <c r="BB8" s="426">
        <v>92500</v>
      </c>
      <c r="BC8" s="426">
        <v>1200</v>
      </c>
    </row>
    <row r="9" spans="1:55" x14ac:dyDescent="0.2">
      <c r="A9" s="72">
        <v>6</v>
      </c>
      <c r="B9" s="81" t="s">
        <v>773</v>
      </c>
      <c r="C9" s="81"/>
      <c r="D9" s="82"/>
      <c r="E9" s="127">
        <f>1000*215*0.00045359237</f>
        <v>97.522359550000004</v>
      </c>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row>
    <row r="10" spans="1:55" x14ac:dyDescent="0.2">
      <c r="A10" s="72">
        <v>7</v>
      </c>
      <c r="B10" s="81" t="s">
        <v>774</v>
      </c>
      <c r="C10" s="81"/>
      <c r="D10" s="82"/>
      <c r="E10" s="92">
        <f>1000*120*0.00045359237</f>
        <v>54.431084399999996</v>
      </c>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row>
    <row r="11" spans="1:55" x14ac:dyDescent="0.2">
      <c r="A11" s="72">
        <v>8</v>
      </c>
      <c r="B11" s="81" t="s">
        <v>775</v>
      </c>
      <c r="C11" s="81"/>
      <c r="D11" s="82"/>
      <c r="E11" s="92">
        <f>1000*160*0.00045359237</f>
        <v>72.574779199999995</v>
      </c>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row>
    <row r="12" spans="1:55" x14ac:dyDescent="0.2">
      <c r="A12" s="72">
        <v>9</v>
      </c>
      <c r="B12" s="81" t="s">
        <v>776</v>
      </c>
      <c r="C12" s="81"/>
      <c r="D12" s="82"/>
      <c r="E12" s="92">
        <f>1000*197*0.00045359237</f>
        <v>89.35769689</v>
      </c>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row>
    <row r="13" spans="1:55" x14ac:dyDescent="0.2">
      <c r="A13" s="72">
        <v>10</v>
      </c>
      <c r="B13" s="83" t="s">
        <v>389</v>
      </c>
      <c r="C13" s="83"/>
      <c r="D13" s="429">
        <f>E13/$E$17</f>
        <v>0.31619699191500927</v>
      </c>
      <c r="E13" s="427">
        <f>E5*$E9</f>
        <v>1917640669.24738</v>
      </c>
      <c r="F13" s="427">
        <f t="shared" ref="F13:BC13" si="45">F5*$E9</f>
        <v>63487056.067050003</v>
      </c>
      <c r="G13" s="427">
        <f t="shared" si="45"/>
        <v>1511596.573025</v>
      </c>
      <c r="H13" s="427">
        <f t="shared" si="45"/>
        <v>44850533.157044999</v>
      </c>
      <c r="I13" s="427">
        <f t="shared" si="45"/>
        <v>29851594.258255001</v>
      </c>
      <c r="J13" s="427">
        <f t="shared" si="45"/>
        <v>5392986.4831150007</v>
      </c>
      <c r="K13" s="427">
        <f t="shared" si="45"/>
        <v>35975998.437995002</v>
      </c>
      <c r="L13" s="427">
        <f t="shared" si="45"/>
        <v>594886.393255</v>
      </c>
      <c r="M13" s="427">
        <f t="shared" si="45"/>
        <v>1745650.2359450001</v>
      </c>
      <c r="N13" s="427">
        <f t="shared" si="45"/>
        <v>53900608.123285003</v>
      </c>
      <c r="O13" s="427">
        <f t="shared" si="45"/>
        <v>61907193.84234</v>
      </c>
      <c r="P13" s="427">
        <f t="shared" si="45"/>
        <v>1570109.9887550001</v>
      </c>
      <c r="Q13" s="427">
        <f t="shared" si="45"/>
        <v>760674.40448999999</v>
      </c>
      <c r="R13" s="427">
        <f t="shared" si="45"/>
        <v>102613026.71851</v>
      </c>
      <c r="S13" s="427">
        <f t="shared" si="45"/>
        <v>130036314.22397001</v>
      </c>
      <c r="T13" s="427">
        <f t="shared" si="45"/>
        <v>45162604.707605004</v>
      </c>
      <c r="U13" s="427">
        <f t="shared" si="45"/>
        <v>33791497.584075004</v>
      </c>
      <c r="V13" s="427">
        <f t="shared" si="45"/>
        <v>98556096.561230004</v>
      </c>
      <c r="W13" s="427">
        <f t="shared" si="45"/>
        <v>26331037.078500003</v>
      </c>
      <c r="X13" s="427">
        <f t="shared" si="45"/>
        <v>146283.53932500002</v>
      </c>
      <c r="Y13" s="427">
        <f t="shared" si="45"/>
        <v>23522393.123460002</v>
      </c>
      <c r="Z13" s="427">
        <f t="shared" si="45"/>
        <v>4193461.4606500003</v>
      </c>
      <c r="AA13" s="427">
        <f t="shared" si="45"/>
        <v>67397702.685005009</v>
      </c>
      <c r="AB13" s="427">
        <f t="shared" si="45"/>
        <v>30778056.673980001</v>
      </c>
      <c r="AC13" s="427">
        <f t="shared" si="45"/>
        <v>10483653.651625</v>
      </c>
      <c r="AD13" s="427">
        <f t="shared" si="45"/>
        <v>80514460.044480011</v>
      </c>
      <c r="AE13" s="427">
        <f t="shared" si="45"/>
        <v>16159454.977435</v>
      </c>
      <c r="AF13" s="427">
        <f t="shared" si="45"/>
        <v>27832881.415570002</v>
      </c>
      <c r="AG13" s="427">
        <f t="shared" si="45"/>
        <v>6114651.9437850006</v>
      </c>
      <c r="AH13" s="427">
        <f t="shared" si="45"/>
        <v>2389297.8089749999</v>
      </c>
      <c r="AI13" s="427">
        <f t="shared" si="45"/>
        <v>4837109.0336800003</v>
      </c>
      <c r="AJ13" s="427">
        <f t="shared" si="45"/>
        <v>27764615.763885003</v>
      </c>
      <c r="AK13" s="427">
        <f t="shared" si="45"/>
        <v>12209799.415660001</v>
      </c>
      <c r="AL13" s="427">
        <f t="shared" si="45"/>
        <v>60931970.24684</v>
      </c>
      <c r="AM13" s="427">
        <f t="shared" si="45"/>
        <v>38501827.550340004</v>
      </c>
      <c r="AN13" s="427">
        <f t="shared" si="45"/>
        <v>119230836.78583001</v>
      </c>
      <c r="AO13" s="427">
        <f t="shared" si="45"/>
        <v>36892708.617765002</v>
      </c>
      <c r="AP13" s="427">
        <f t="shared" si="45"/>
        <v>3423034.8202050002</v>
      </c>
      <c r="AQ13" s="427">
        <f t="shared" si="45"/>
        <v>118294622.13415</v>
      </c>
      <c r="AR13" s="427">
        <f t="shared" si="45"/>
        <v>0</v>
      </c>
      <c r="AS13" s="427">
        <f t="shared" si="45"/>
        <v>35712688.067210004</v>
      </c>
      <c r="AT13" s="427">
        <f t="shared" si="45"/>
        <v>3130467.7415550002</v>
      </c>
      <c r="AU13" s="427">
        <f t="shared" si="45"/>
        <v>46918007.179505005</v>
      </c>
      <c r="AV13" s="427">
        <f t="shared" si="45"/>
        <v>165319903.90916002</v>
      </c>
      <c r="AW13" s="427">
        <f t="shared" si="45"/>
        <v>33762240.876210004</v>
      </c>
      <c r="AX13" s="427">
        <f t="shared" si="45"/>
        <v>0</v>
      </c>
      <c r="AY13" s="427">
        <f t="shared" si="45"/>
        <v>28115696.258265</v>
      </c>
      <c r="AZ13" s="427">
        <f t="shared" si="45"/>
        <v>5558774.4943500003</v>
      </c>
      <c r="BA13" s="427">
        <f t="shared" si="45"/>
        <v>80221892.965829998</v>
      </c>
      <c r="BB13" s="427">
        <f t="shared" si="45"/>
        <v>43631503.662670001</v>
      </c>
      <c r="BC13" s="427">
        <f t="shared" si="45"/>
        <v>45611207.561535001</v>
      </c>
    </row>
    <row r="14" spans="1:55" x14ac:dyDescent="0.2">
      <c r="A14" s="72">
        <v>11</v>
      </c>
      <c r="B14" s="83" t="s">
        <v>390</v>
      </c>
      <c r="C14" s="83"/>
      <c r="D14" s="429">
        <f>E14/$E$17</f>
        <v>0.22281759796179915</v>
      </c>
      <c r="E14" s="427">
        <f>E6*$E10</f>
        <v>1351322430.63972</v>
      </c>
      <c r="F14" s="427">
        <f>F6*$E10</f>
        <v>33464230.689119998</v>
      </c>
      <c r="G14" s="427">
        <f>G6*$E10</f>
        <v>18343275.4428</v>
      </c>
      <c r="H14" s="427">
        <f t="shared" ref="H14:BC14" si="46">H6*$E10</f>
        <v>15986409.488279998</v>
      </c>
      <c r="I14" s="427">
        <f t="shared" si="46"/>
        <v>15708810.957839999</v>
      </c>
      <c r="J14" s="427">
        <f t="shared" si="46"/>
        <v>119563319.99304</v>
      </c>
      <c r="K14" s="427">
        <f t="shared" si="46"/>
        <v>25936411.716599997</v>
      </c>
      <c r="L14" s="427">
        <f t="shared" si="46"/>
        <v>12829406.593079999</v>
      </c>
      <c r="M14" s="427">
        <f t="shared" si="46"/>
        <v>4447019.5954799997</v>
      </c>
      <c r="N14" s="427">
        <f t="shared" si="46"/>
        <v>67309478.969039991</v>
      </c>
      <c r="O14" s="427">
        <f t="shared" si="46"/>
        <v>28935564.467039999</v>
      </c>
      <c r="P14" s="427">
        <f t="shared" si="46"/>
        <v>10886.21688</v>
      </c>
      <c r="Q14" s="427">
        <f t="shared" si="46"/>
        <v>4566767.98116</v>
      </c>
      <c r="R14" s="427">
        <f t="shared" si="46"/>
        <v>53690821.652159996</v>
      </c>
      <c r="S14" s="427">
        <f t="shared" si="46"/>
        <v>34574624.810879998</v>
      </c>
      <c r="T14" s="427">
        <f t="shared" si="46"/>
        <v>15110069.029439999</v>
      </c>
      <c r="U14" s="427">
        <f t="shared" si="46"/>
        <v>15491086.620239999</v>
      </c>
      <c r="V14" s="427">
        <f t="shared" si="46"/>
        <v>12442945.893839998</v>
      </c>
      <c r="W14" s="427">
        <f t="shared" si="46"/>
        <v>81782704.31099999</v>
      </c>
      <c r="X14" s="427">
        <f t="shared" si="46"/>
        <v>4027900.2455999996</v>
      </c>
      <c r="Y14" s="427">
        <f t="shared" si="46"/>
        <v>10837228.904039999</v>
      </c>
      <c r="Z14" s="427">
        <f t="shared" si="46"/>
        <v>25103616.125279997</v>
      </c>
      <c r="AA14" s="427">
        <f t="shared" si="46"/>
        <v>42853592.748119995</v>
      </c>
      <c r="AB14" s="427">
        <f t="shared" si="46"/>
        <v>23133210.869999997</v>
      </c>
      <c r="AC14" s="427">
        <f t="shared" si="46"/>
        <v>23895246.051599998</v>
      </c>
      <c r="AD14" s="427">
        <f t="shared" si="46"/>
        <v>14963105.101559998</v>
      </c>
      <c r="AE14" s="427">
        <f t="shared" si="46"/>
        <v>4327271.2097999994</v>
      </c>
      <c r="AF14" s="427">
        <f t="shared" si="46"/>
        <v>9454679.3602799997</v>
      </c>
      <c r="AG14" s="427">
        <f t="shared" si="46"/>
        <v>13950686.93172</v>
      </c>
      <c r="AH14" s="427">
        <f t="shared" si="46"/>
        <v>3919038.0767999999</v>
      </c>
      <c r="AI14" s="427">
        <f t="shared" si="46"/>
        <v>36871616.572559997</v>
      </c>
      <c r="AJ14" s="427">
        <f t="shared" si="46"/>
        <v>13711190.160359999</v>
      </c>
      <c r="AK14" s="427">
        <f t="shared" si="46"/>
        <v>67870119.138359994</v>
      </c>
      <c r="AL14" s="427">
        <f t="shared" si="46"/>
        <v>16938953.46528</v>
      </c>
      <c r="AM14" s="427">
        <f t="shared" si="46"/>
        <v>3929924.2936799997</v>
      </c>
      <c r="AN14" s="427">
        <f t="shared" si="46"/>
        <v>46026924.96864</v>
      </c>
      <c r="AO14" s="427">
        <f t="shared" si="46"/>
        <v>36844401.030359998</v>
      </c>
      <c r="AP14" s="427">
        <f t="shared" si="46"/>
        <v>11087611.892279999</v>
      </c>
      <c r="AQ14" s="427">
        <f t="shared" si="46"/>
        <v>54354880.881839998</v>
      </c>
      <c r="AR14" s="427">
        <f t="shared" si="46"/>
        <v>5579186.1509999996</v>
      </c>
      <c r="AS14" s="427">
        <f t="shared" si="46"/>
        <v>12818520.3762</v>
      </c>
      <c r="AT14" s="427">
        <f t="shared" si="46"/>
        <v>4027900.2455999996</v>
      </c>
      <c r="AU14" s="427">
        <f t="shared" si="46"/>
        <v>14075878.42584</v>
      </c>
      <c r="AV14" s="427">
        <f t="shared" si="46"/>
        <v>204492140.98235998</v>
      </c>
      <c r="AW14" s="427">
        <f t="shared" si="46"/>
        <v>12551808.062639998</v>
      </c>
      <c r="AX14" s="427">
        <f t="shared" si="46"/>
        <v>473550.43427999999</v>
      </c>
      <c r="AY14" s="427">
        <f t="shared" si="46"/>
        <v>20857991.54208</v>
      </c>
      <c r="AZ14" s="427">
        <f t="shared" si="46"/>
        <v>14816141.173679998</v>
      </c>
      <c r="BA14" s="427">
        <f t="shared" si="46"/>
        <v>6798442.4415599992</v>
      </c>
      <c r="BB14" s="427">
        <f t="shared" si="46"/>
        <v>21728888.892479997</v>
      </c>
      <c r="BC14" s="427">
        <f t="shared" si="46"/>
        <v>8806949.4559199996</v>
      </c>
    </row>
    <row r="15" spans="1:55" x14ac:dyDescent="0.2">
      <c r="A15" s="72">
        <v>12</v>
      </c>
      <c r="B15" s="83" t="s">
        <v>391</v>
      </c>
      <c r="C15" s="83"/>
      <c r="D15" s="429">
        <f>E15/$E$17</f>
        <v>0.42455397042486492</v>
      </c>
      <c r="E15" s="427">
        <f>E7*$E11</f>
        <v>2574793501.50176</v>
      </c>
      <c r="F15" s="427">
        <f>F7*$E11</f>
        <v>39879841.170399994</v>
      </c>
      <c r="G15" s="427">
        <f>G7*$E11</f>
        <v>19384723.524319999</v>
      </c>
      <c r="H15" s="427">
        <f t="shared" ref="H15:BC15" si="47">H7*$E11</f>
        <v>36352706.901280001</v>
      </c>
      <c r="I15" s="427">
        <f t="shared" si="47"/>
        <v>24363353.377439998</v>
      </c>
      <c r="J15" s="427">
        <f t="shared" si="47"/>
        <v>247175182.99936</v>
      </c>
      <c r="K15" s="427">
        <f t="shared" si="47"/>
        <v>34320613.083679996</v>
      </c>
      <c r="L15" s="427">
        <f t="shared" si="47"/>
        <v>22904600.31552</v>
      </c>
      <c r="M15" s="427">
        <f t="shared" si="47"/>
        <v>7366340.0887999991</v>
      </c>
      <c r="N15" s="427">
        <f t="shared" si="47"/>
        <v>116983286.59247999</v>
      </c>
      <c r="O15" s="427">
        <f t="shared" si="47"/>
        <v>72328024.950719997</v>
      </c>
      <c r="P15" s="427">
        <f t="shared" si="47"/>
        <v>17867910.639039997</v>
      </c>
      <c r="Q15" s="427">
        <f t="shared" si="47"/>
        <v>11706311.884959999</v>
      </c>
      <c r="R15" s="427">
        <f t="shared" si="47"/>
        <v>87184082.252959996</v>
      </c>
      <c r="S15" s="427">
        <f t="shared" si="47"/>
        <v>55418101.397119999</v>
      </c>
      <c r="T15" s="427">
        <f t="shared" si="47"/>
        <v>30670101.689919997</v>
      </c>
      <c r="U15" s="427">
        <f t="shared" si="47"/>
        <v>28892019.599519998</v>
      </c>
      <c r="V15" s="427">
        <f t="shared" si="47"/>
        <v>44669776.597599998</v>
      </c>
      <c r="W15" s="427">
        <f t="shared" si="47"/>
        <v>138494451.14736</v>
      </c>
      <c r="X15" s="427">
        <f t="shared" si="47"/>
        <v>13825495.4376</v>
      </c>
      <c r="Y15" s="427">
        <f t="shared" si="47"/>
        <v>34727031.847199999</v>
      </c>
      <c r="Z15" s="427">
        <f t="shared" si="47"/>
        <v>41367624.143999994</v>
      </c>
      <c r="AA15" s="427">
        <f t="shared" si="47"/>
        <v>57856613.978239998</v>
      </c>
      <c r="AB15" s="427">
        <f t="shared" si="47"/>
        <v>43965801.239359997</v>
      </c>
      <c r="AC15" s="427">
        <f t="shared" si="47"/>
        <v>29683084.692799997</v>
      </c>
      <c r="AD15" s="427">
        <f t="shared" si="47"/>
        <v>46593008.246399999</v>
      </c>
      <c r="AE15" s="427">
        <f t="shared" si="47"/>
        <v>12475604.54448</v>
      </c>
      <c r="AF15" s="427">
        <f t="shared" si="47"/>
        <v>17040558.156159997</v>
      </c>
      <c r="AG15" s="427">
        <f t="shared" si="47"/>
        <v>15066524.161919998</v>
      </c>
      <c r="AH15" s="427">
        <f t="shared" si="47"/>
        <v>10777354.711199999</v>
      </c>
      <c r="AI15" s="427">
        <f t="shared" si="47"/>
        <v>79469383.223999992</v>
      </c>
      <c r="AJ15" s="427">
        <f t="shared" si="47"/>
        <v>18296101.836319998</v>
      </c>
      <c r="AK15" s="427">
        <f t="shared" si="47"/>
        <v>91095862.851839989</v>
      </c>
      <c r="AL15" s="427">
        <f t="shared" si="47"/>
        <v>56811537.157759994</v>
      </c>
      <c r="AM15" s="427">
        <f t="shared" si="47"/>
        <v>13324729.461119998</v>
      </c>
      <c r="AN15" s="427">
        <f t="shared" si="47"/>
        <v>83932732.144799992</v>
      </c>
      <c r="AO15" s="427">
        <f t="shared" si="47"/>
        <v>38508177.843520001</v>
      </c>
      <c r="AP15" s="427">
        <f t="shared" si="47"/>
        <v>24602850.148799997</v>
      </c>
      <c r="AQ15" s="427">
        <f t="shared" si="47"/>
        <v>88635577.836959988</v>
      </c>
      <c r="AR15" s="427">
        <f t="shared" si="47"/>
        <v>5755179.9905599998</v>
      </c>
      <c r="AS15" s="427">
        <f t="shared" si="47"/>
        <v>35053618.353599995</v>
      </c>
      <c r="AT15" s="427">
        <f t="shared" si="47"/>
        <v>8447704.2988799997</v>
      </c>
      <c r="AU15" s="427">
        <f t="shared" si="47"/>
        <v>50149172.427199997</v>
      </c>
      <c r="AV15" s="427">
        <f t="shared" si="47"/>
        <v>423960087.65263999</v>
      </c>
      <c r="AW15" s="427">
        <f t="shared" si="47"/>
        <v>20712841.983679999</v>
      </c>
      <c r="AX15" s="427">
        <f t="shared" si="47"/>
        <v>5610030.4321599994</v>
      </c>
      <c r="AY15" s="427">
        <f t="shared" si="47"/>
        <v>55120544.802399993</v>
      </c>
      <c r="AZ15" s="427">
        <f t="shared" si="47"/>
        <v>52551397.618719995</v>
      </c>
      <c r="BA15" s="427">
        <f t="shared" si="47"/>
        <v>13665830.923359999</v>
      </c>
      <c r="BB15" s="427">
        <f t="shared" si="47"/>
        <v>37767915.095679998</v>
      </c>
      <c r="BC15" s="427">
        <f t="shared" si="47"/>
        <v>11982096.045919999</v>
      </c>
    </row>
    <row r="16" spans="1:55" x14ac:dyDescent="0.2">
      <c r="A16" s="72">
        <v>13</v>
      </c>
      <c r="B16" s="83" t="s">
        <v>392</v>
      </c>
      <c r="C16" s="83"/>
      <c r="D16" s="429">
        <f>E16/$E$17</f>
        <v>3.6431439698326601E-2</v>
      </c>
      <c r="E16" s="427">
        <f>E8*$E12</f>
        <v>220945841.33021399</v>
      </c>
      <c r="F16" s="427">
        <f>F8*$E12</f>
        <v>14181066.496443</v>
      </c>
      <c r="G16" s="427">
        <f t="shared" ref="G16:BC16" si="48">G8*$E12</f>
        <v>205522.70284700001</v>
      </c>
      <c r="H16" s="427">
        <f t="shared" si="48"/>
        <v>598696.56916299998</v>
      </c>
      <c r="I16" s="427">
        <f t="shared" si="48"/>
        <v>8381751.9682820002</v>
      </c>
      <c r="J16" s="427">
        <f t="shared" si="48"/>
        <v>13233874.909409</v>
      </c>
      <c r="K16" s="427">
        <f t="shared" si="48"/>
        <v>965063.12641200004</v>
      </c>
      <c r="L16" s="427">
        <f t="shared" si="48"/>
        <v>1974805.101269</v>
      </c>
      <c r="M16" s="427">
        <f t="shared" si="48"/>
        <v>277008.86035899998</v>
      </c>
      <c r="N16" s="427">
        <f t="shared" si="48"/>
        <v>16906476.251587998</v>
      </c>
      <c r="O16" s="427">
        <f t="shared" si="48"/>
        <v>14726148.447472</v>
      </c>
      <c r="P16" s="427">
        <f t="shared" si="48"/>
        <v>705925.80543099996</v>
      </c>
      <c r="Q16" s="427">
        <f t="shared" si="48"/>
        <v>2466272.4341640002</v>
      </c>
      <c r="R16" s="427">
        <f t="shared" si="48"/>
        <v>3172198.2395950002</v>
      </c>
      <c r="S16" s="427">
        <f t="shared" si="48"/>
        <v>2716473.9854560001</v>
      </c>
      <c r="T16" s="427">
        <f t="shared" si="48"/>
        <v>2341171.658518</v>
      </c>
      <c r="U16" s="427">
        <f t="shared" si="48"/>
        <v>527210.41165100003</v>
      </c>
      <c r="V16" s="427">
        <f t="shared" si="48"/>
        <v>2064162.798159</v>
      </c>
      <c r="W16" s="427">
        <f t="shared" si="48"/>
        <v>8694503.9073970001</v>
      </c>
      <c r="X16" s="427">
        <f t="shared" si="48"/>
        <v>9677438.5731869992</v>
      </c>
      <c r="Y16" s="427">
        <f t="shared" si="48"/>
        <v>2564565.9007430002</v>
      </c>
      <c r="Z16" s="427">
        <f t="shared" si="48"/>
        <v>3064969.003327</v>
      </c>
      <c r="AA16" s="427">
        <f t="shared" si="48"/>
        <v>7389881.532803</v>
      </c>
      <c r="AB16" s="427">
        <f t="shared" si="48"/>
        <v>6263974.5519890003</v>
      </c>
      <c r="AC16" s="427">
        <f t="shared" si="48"/>
        <v>4852122.9411270004</v>
      </c>
      <c r="AD16" s="427">
        <f t="shared" si="48"/>
        <v>2859446.3004800002</v>
      </c>
      <c r="AE16" s="427">
        <f t="shared" si="48"/>
        <v>446788.48444999999</v>
      </c>
      <c r="AF16" s="427">
        <f t="shared" si="48"/>
        <v>679118.49636400002</v>
      </c>
      <c r="AG16" s="427">
        <f t="shared" si="48"/>
        <v>214458.47253599999</v>
      </c>
      <c r="AH16" s="427">
        <f t="shared" si="48"/>
        <v>2332235.8888289998</v>
      </c>
      <c r="AI16" s="427">
        <f t="shared" si="48"/>
        <v>2627116.2885659998</v>
      </c>
      <c r="AJ16" s="427">
        <f t="shared" si="48"/>
        <v>705925.80543099996</v>
      </c>
      <c r="AK16" s="427">
        <f t="shared" si="48"/>
        <v>5808250.2978499997</v>
      </c>
      <c r="AL16" s="427">
        <f t="shared" si="48"/>
        <v>9409365.4825170003</v>
      </c>
      <c r="AM16" s="427">
        <f t="shared" si="48"/>
        <v>223394.24222499999</v>
      </c>
      <c r="AN16" s="427">
        <f t="shared" si="48"/>
        <v>4405334.456677</v>
      </c>
      <c r="AO16" s="427">
        <f t="shared" si="48"/>
        <v>2359043.197896</v>
      </c>
      <c r="AP16" s="427">
        <f t="shared" si="48"/>
        <v>4101518.2872509998</v>
      </c>
      <c r="AQ16" s="427">
        <f t="shared" si="48"/>
        <v>7729440.7809849996</v>
      </c>
      <c r="AR16" s="427">
        <f t="shared" si="48"/>
        <v>268073.09067000001</v>
      </c>
      <c r="AS16" s="427">
        <f t="shared" si="48"/>
        <v>8247715.4229469998</v>
      </c>
      <c r="AT16" s="427">
        <f t="shared" si="48"/>
        <v>169779.62409100001</v>
      </c>
      <c r="AU16" s="427">
        <f t="shared" si="48"/>
        <v>4825315.6320599997</v>
      </c>
      <c r="AV16" s="427">
        <f t="shared" si="48"/>
        <v>7255844.9874679996</v>
      </c>
      <c r="AW16" s="427">
        <f t="shared" si="48"/>
        <v>250201.55129199999</v>
      </c>
      <c r="AX16" s="427">
        <f t="shared" si="48"/>
        <v>1429723.1502400001</v>
      </c>
      <c r="AY16" s="427">
        <f t="shared" si="48"/>
        <v>7827734.2475640001</v>
      </c>
      <c r="AZ16" s="427">
        <f t="shared" si="48"/>
        <v>8667696.5983300004</v>
      </c>
      <c r="BA16" s="427">
        <f t="shared" si="48"/>
        <v>1778218.168111</v>
      </c>
      <c r="BB16" s="427">
        <f t="shared" si="48"/>
        <v>8265586.9623250002</v>
      </c>
      <c r="BC16" s="427">
        <f t="shared" si="48"/>
        <v>107229.23626799999</v>
      </c>
    </row>
    <row r="17" spans="1:55" x14ac:dyDescent="0.2">
      <c r="A17" s="72">
        <v>14</v>
      </c>
      <c r="B17" s="214" t="s">
        <v>393</v>
      </c>
      <c r="C17" s="83"/>
      <c r="D17" s="83"/>
      <c r="E17" s="428">
        <f>SUM(E13:E16)</f>
        <v>6064702442.7190742</v>
      </c>
      <c r="F17" s="428">
        <f t="shared" ref="F17:BC17" si="49">SUM(F13:F16)</f>
        <v>151012194.423013</v>
      </c>
      <c r="G17" s="428">
        <f t="shared" si="49"/>
        <v>39445118.242991991</v>
      </c>
      <c r="H17" s="428">
        <f t="shared" si="49"/>
        <v>97788346.115767986</v>
      </c>
      <c r="I17" s="428">
        <f t="shared" si="49"/>
        <v>78305510.561817005</v>
      </c>
      <c r="J17" s="428">
        <f t="shared" si="49"/>
        <v>385365364.38492399</v>
      </c>
      <c r="K17" s="428">
        <f t="shared" si="49"/>
        <v>97198086.364686996</v>
      </c>
      <c r="L17" s="428">
        <f t="shared" si="49"/>
        <v>38303698.403123997</v>
      </c>
      <c r="M17" s="428">
        <f t="shared" si="49"/>
        <v>13836018.780583998</v>
      </c>
      <c r="N17" s="428">
        <f t="shared" si="49"/>
        <v>255099849.93639296</v>
      </c>
      <c r="O17" s="428">
        <f t="shared" si="49"/>
        <v>177896931.70757201</v>
      </c>
      <c r="P17" s="428">
        <f t="shared" si="49"/>
        <v>20154832.650105998</v>
      </c>
      <c r="Q17" s="428">
        <f t="shared" si="49"/>
        <v>19500026.704773996</v>
      </c>
      <c r="R17" s="428">
        <f t="shared" si="49"/>
        <v>246660128.86322498</v>
      </c>
      <c r="S17" s="428">
        <f t="shared" si="49"/>
        <v>222745514.41742599</v>
      </c>
      <c r="T17" s="428">
        <f t="shared" si="49"/>
        <v>93283947.085483</v>
      </c>
      <c r="U17" s="428">
        <f t="shared" si="49"/>
        <v>78701814.215486005</v>
      </c>
      <c r="V17" s="428">
        <f t="shared" si="49"/>
        <v>157732981.85082901</v>
      </c>
      <c r="W17" s="428">
        <f t="shared" si="49"/>
        <v>255302696.44425699</v>
      </c>
      <c r="X17" s="428">
        <f t="shared" si="49"/>
        <v>27677117.795712002</v>
      </c>
      <c r="Y17" s="428">
        <f t="shared" si="49"/>
        <v>71651219.775443017</v>
      </c>
      <c r="Z17" s="428">
        <f t="shared" si="49"/>
        <v>73729670.733256981</v>
      </c>
      <c r="AA17" s="428">
        <f t="shared" si="49"/>
        <v>175497790.944168</v>
      </c>
      <c r="AB17" s="428">
        <f t="shared" si="49"/>
        <v>104141043.33532901</v>
      </c>
      <c r="AC17" s="428">
        <f t="shared" si="49"/>
        <v>68914107.337152004</v>
      </c>
      <c r="AD17" s="428">
        <f t="shared" si="49"/>
        <v>144930019.69292003</v>
      </c>
      <c r="AE17" s="428">
        <f t="shared" si="49"/>
        <v>33409119.216164999</v>
      </c>
      <c r="AF17" s="428">
        <f t="shared" si="49"/>
        <v>55007237.428373992</v>
      </c>
      <c r="AG17" s="428">
        <f t="shared" si="49"/>
        <v>35346321.509960994</v>
      </c>
      <c r="AH17" s="428">
        <f t="shared" si="49"/>
        <v>19417926.485803999</v>
      </c>
      <c r="AI17" s="428">
        <f t="shared" si="49"/>
        <v>123805225.11880597</v>
      </c>
      <c r="AJ17" s="428">
        <f t="shared" si="49"/>
        <v>60477833.565995999</v>
      </c>
      <c r="AK17" s="428">
        <f t="shared" si="49"/>
        <v>176984031.70370999</v>
      </c>
      <c r="AL17" s="428">
        <f t="shared" si="49"/>
        <v>144091826.35239699</v>
      </c>
      <c r="AM17" s="428">
        <f t="shared" si="49"/>
        <v>55979875.547365002</v>
      </c>
      <c r="AN17" s="428">
        <f t="shared" si="49"/>
        <v>253595828.35594699</v>
      </c>
      <c r="AO17" s="428">
        <f t="shared" si="49"/>
        <v>114604330.689541</v>
      </c>
      <c r="AP17" s="428">
        <f t="shared" si="49"/>
        <v>43215015.148536004</v>
      </c>
      <c r="AQ17" s="428">
        <f t="shared" si="49"/>
        <v>269014521.63393497</v>
      </c>
      <c r="AR17" s="428">
        <f t="shared" si="49"/>
        <v>11602439.23223</v>
      </c>
      <c r="AS17" s="428">
        <f t="shared" si="49"/>
        <v>91832542.219957009</v>
      </c>
      <c r="AT17" s="428">
        <f t="shared" si="49"/>
        <v>15775851.910125999</v>
      </c>
      <c r="AU17" s="428">
        <f t="shared" si="49"/>
        <v>115968373.66460501</v>
      </c>
      <c r="AV17" s="428">
        <f t="shared" si="49"/>
        <v>801027977.53162801</v>
      </c>
      <c r="AW17" s="428">
        <f t="shared" si="49"/>
        <v>67277092.473821998</v>
      </c>
      <c r="AX17" s="428">
        <f t="shared" si="49"/>
        <v>7513304.0166799994</v>
      </c>
      <c r="AY17" s="428">
        <f t="shared" si="49"/>
        <v>111921966.850309</v>
      </c>
      <c r="AZ17" s="428">
        <f t="shared" si="49"/>
        <v>81594009.885079995</v>
      </c>
      <c r="BA17" s="428">
        <f t="shared" si="49"/>
        <v>102464384.498861</v>
      </c>
      <c r="BB17" s="428">
        <f t="shared" si="49"/>
        <v>111393894.61315501</v>
      </c>
      <c r="BC17" s="428">
        <f t="shared" si="49"/>
        <v>66507482.299642995</v>
      </c>
    </row>
    <row r="18" spans="1:55" x14ac:dyDescent="0.2">
      <c r="A18" s="72">
        <v>15</v>
      </c>
      <c r="B18" s="210" t="s">
        <v>780</v>
      </c>
      <c r="C18" s="83"/>
      <c r="D18" s="83"/>
      <c r="E18" s="318">
        <v>128</v>
      </c>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row>
    <row r="19" spans="1:55" x14ac:dyDescent="0.2">
      <c r="A19" s="72"/>
      <c r="B19" s="83"/>
      <c r="C19" s="83"/>
      <c r="D19" s="83"/>
      <c r="E19" s="432"/>
      <c r="F19" s="432" t="s">
        <v>984</v>
      </c>
      <c r="G19" s="432" t="s">
        <v>985</v>
      </c>
      <c r="H19" s="432" t="s">
        <v>986</v>
      </c>
      <c r="I19" s="432" t="s">
        <v>1068</v>
      </c>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row>
    <row r="20" spans="1:55" x14ac:dyDescent="0.2">
      <c r="A20" s="72"/>
      <c r="B20" s="83"/>
      <c r="C20" s="83"/>
      <c r="D20" s="83"/>
      <c r="E20" s="432" t="s">
        <v>983</v>
      </c>
      <c r="F20" s="433">
        <v>10</v>
      </c>
      <c r="G20" s="433">
        <v>40</v>
      </c>
      <c r="H20" s="432">
        <v>0.8</v>
      </c>
      <c r="I20" s="432">
        <v>220</v>
      </c>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row>
    <row r="21" spans="1:55" s="83" customFormat="1" x14ac:dyDescent="0.2">
      <c r="B21" s="59" t="s">
        <v>579</v>
      </c>
      <c r="E21" s="431" t="s">
        <v>949</v>
      </c>
      <c r="F21" s="83">
        <v>128</v>
      </c>
    </row>
    <row r="22" spans="1:55" x14ac:dyDescent="0.2">
      <c r="A22" s="84">
        <v>1</v>
      </c>
      <c r="B22" s="52" t="s">
        <v>394</v>
      </c>
      <c r="C22" s="52"/>
      <c r="E22" s="83"/>
      <c r="F22" s="83"/>
      <c r="G22" s="83"/>
    </row>
    <row r="23" spans="1:55" x14ac:dyDescent="0.2">
      <c r="A23" s="84">
        <v>2</v>
      </c>
      <c r="B23" t="s">
        <v>614</v>
      </c>
      <c r="C23" s="52"/>
      <c r="E23" s="83"/>
      <c r="F23" s="83"/>
      <c r="G23" s="83"/>
    </row>
    <row r="24" spans="1:55" x14ac:dyDescent="0.2">
      <c r="A24" s="84">
        <v>3</v>
      </c>
      <c r="B24" t="s">
        <v>615</v>
      </c>
      <c r="C24" s="52"/>
      <c r="E24" s="83"/>
      <c r="F24" s="83"/>
      <c r="G24" s="83"/>
    </row>
    <row r="25" spans="1:55" x14ac:dyDescent="0.2">
      <c r="A25" s="84">
        <v>4</v>
      </c>
      <c r="B25" t="s">
        <v>616</v>
      </c>
      <c r="C25" s="52"/>
      <c r="E25" s="83"/>
      <c r="F25" s="83"/>
      <c r="G25" s="83"/>
    </row>
    <row r="26" spans="1:55" x14ac:dyDescent="0.2">
      <c r="A26" s="84">
        <v>5</v>
      </c>
      <c r="B26" t="s">
        <v>617</v>
      </c>
      <c r="C26" s="52"/>
      <c r="E26" s="83"/>
      <c r="F26" s="83"/>
      <c r="G26" s="83"/>
    </row>
    <row r="27" spans="1:55" x14ac:dyDescent="0.2">
      <c r="A27" s="84">
        <v>2</v>
      </c>
      <c r="B27" s="83" t="s">
        <v>618</v>
      </c>
      <c r="C27" s="83"/>
      <c r="E27" s="83"/>
      <c r="F27" s="83"/>
      <c r="G27" s="83"/>
    </row>
    <row r="28" spans="1:55" x14ac:dyDescent="0.2">
      <c r="A28" s="84">
        <v>3</v>
      </c>
      <c r="B28" s="83" t="s">
        <v>618</v>
      </c>
      <c r="C28" s="83"/>
      <c r="E28" s="83"/>
      <c r="F28" s="83"/>
      <c r="G28" s="83"/>
    </row>
    <row r="29" spans="1:55" x14ac:dyDescent="0.2">
      <c r="A29" s="84">
        <v>4</v>
      </c>
      <c r="B29" s="83" t="s">
        <v>618</v>
      </c>
      <c r="C29" s="83"/>
      <c r="E29" s="83"/>
      <c r="F29" s="83"/>
      <c r="G29" s="83"/>
    </row>
    <row r="30" spans="1:55" x14ac:dyDescent="0.2">
      <c r="A30" s="84">
        <v>5</v>
      </c>
      <c r="B30" s="83" t="s">
        <v>618</v>
      </c>
      <c r="C30" s="83"/>
      <c r="D30" s="83"/>
      <c r="E30" s="83"/>
      <c r="F30" s="83"/>
      <c r="G30" s="83"/>
    </row>
    <row r="31" spans="1:55" x14ac:dyDescent="0.2">
      <c r="A31" s="169" t="s">
        <v>777</v>
      </c>
      <c r="B31" s="52" t="s">
        <v>613</v>
      </c>
      <c r="C31" s="52"/>
      <c r="D31" s="83"/>
      <c r="E31" s="83"/>
      <c r="F31" s="83"/>
      <c r="G31" s="83"/>
    </row>
    <row r="32" spans="1:55" x14ac:dyDescent="0.2">
      <c r="A32" s="84" t="s">
        <v>778</v>
      </c>
      <c r="B32" s="52" t="s">
        <v>779</v>
      </c>
      <c r="C32" s="52"/>
      <c r="D32" s="83"/>
      <c r="E32" s="83"/>
      <c r="F32" s="83"/>
      <c r="G32" s="83"/>
    </row>
    <row r="33" spans="1:55" x14ac:dyDescent="0.2">
      <c r="A33" s="84">
        <v>14</v>
      </c>
      <c r="B33" s="52" t="s">
        <v>782</v>
      </c>
      <c r="C33" s="52"/>
      <c r="D33" s="83"/>
      <c r="E33" s="83"/>
      <c r="F33" s="83"/>
      <c r="G33" s="83"/>
    </row>
    <row r="34" spans="1:55" x14ac:dyDescent="0.2">
      <c r="A34" s="84">
        <v>15</v>
      </c>
      <c r="B34" s="52" t="s">
        <v>613</v>
      </c>
      <c r="C34" s="83"/>
      <c r="D34" s="83"/>
      <c r="E34" s="83"/>
      <c r="F34" s="83"/>
      <c r="G34" s="83"/>
    </row>
    <row r="35" spans="1:55" x14ac:dyDescent="0.2">
      <c r="A35" s="84"/>
      <c r="B35" s="83"/>
      <c r="C35" s="83"/>
      <c r="D35" s="83"/>
      <c r="E35" s="83"/>
      <c r="F35" s="83"/>
      <c r="G35" s="83"/>
    </row>
    <row r="36" spans="1:55" x14ac:dyDescent="0.2">
      <c r="A36" s="84"/>
      <c r="B36" s="83"/>
      <c r="C36" s="83"/>
      <c r="D36" s="83"/>
      <c r="E36" s="83"/>
      <c r="F36" s="431" t="str">
        <f>F3</f>
        <v>AL</v>
      </c>
      <c r="G36" s="431" t="str">
        <f t="shared" ref="G36:BC36" si="50">G3</f>
        <v>AK</v>
      </c>
      <c r="H36" s="431" t="str">
        <f t="shared" si="50"/>
        <v>AZ</v>
      </c>
      <c r="I36" s="431" t="str">
        <f t="shared" si="50"/>
        <v>AR</v>
      </c>
      <c r="J36" s="431" t="str">
        <f t="shared" si="50"/>
        <v>CA</v>
      </c>
      <c r="K36" s="431" t="str">
        <f t="shared" si="50"/>
        <v>CO</v>
      </c>
      <c r="L36" s="431" t="str">
        <f t="shared" si="50"/>
        <v>CT</v>
      </c>
      <c r="M36" s="431" t="str">
        <f t="shared" si="50"/>
        <v>DE</v>
      </c>
      <c r="N36" s="431" t="str">
        <f t="shared" si="50"/>
        <v>FL</v>
      </c>
      <c r="O36" s="431" t="str">
        <f t="shared" si="50"/>
        <v>GA</v>
      </c>
      <c r="P36" s="431" t="str">
        <f t="shared" si="50"/>
        <v>HI</v>
      </c>
      <c r="Q36" s="431" t="str">
        <f t="shared" si="50"/>
        <v>ID</v>
      </c>
      <c r="R36" s="431" t="str">
        <f t="shared" si="50"/>
        <v>IL</v>
      </c>
      <c r="S36" s="431" t="str">
        <f t="shared" si="50"/>
        <v>IN</v>
      </c>
      <c r="T36" s="431" t="str">
        <f t="shared" si="50"/>
        <v>IA</v>
      </c>
      <c r="U36" s="431" t="str">
        <f t="shared" si="50"/>
        <v>KS</v>
      </c>
      <c r="V36" s="431" t="str">
        <f t="shared" si="50"/>
        <v>KY</v>
      </c>
      <c r="W36" s="431" t="str">
        <f t="shared" si="50"/>
        <v>LA</v>
      </c>
      <c r="X36" s="431" t="str">
        <f t="shared" si="50"/>
        <v>ME</v>
      </c>
      <c r="Y36" s="431" t="str">
        <f t="shared" si="50"/>
        <v>MD</v>
      </c>
      <c r="Z36" s="431" t="str">
        <f t="shared" si="50"/>
        <v>MA</v>
      </c>
      <c r="AA36" s="431" t="str">
        <f t="shared" si="50"/>
        <v>MI</v>
      </c>
      <c r="AB36" s="431" t="str">
        <f t="shared" si="50"/>
        <v>MN</v>
      </c>
      <c r="AC36" s="431" t="str">
        <f t="shared" si="50"/>
        <v>MS</v>
      </c>
      <c r="AD36" s="431" t="str">
        <f t="shared" si="50"/>
        <v>MO</v>
      </c>
      <c r="AE36" s="431" t="str">
        <f t="shared" si="50"/>
        <v>MT</v>
      </c>
      <c r="AF36" s="431" t="str">
        <f t="shared" si="50"/>
        <v>NE</v>
      </c>
      <c r="AG36" s="431" t="str">
        <f t="shared" si="50"/>
        <v>NV</v>
      </c>
      <c r="AH36" s="431" t="str">
        <f t="shared" si="50"/>
        <v>NH</v>
      </c>
      <c r="AI36" s="431" t="str">
        <f t="shared" si="50"/>
        <v>NJ</v>
      </c>
      <c r="AJ36" s="431" t="str">
        <f t="shared" si="50"/>
        <v>NM</v>
      </c>
      <c r="AK36" s="431" t="str">
        <f t="shared" si="50"/>
        <v>NY</v>
      </c>
      <c r="AL36" s="431" t="str">
        <f t="shared" si="50"/>
        <v>NC</v>
      </c>
      <c r="AM36" s="431" t="str">
        <f t="shared" si="50"/>
        <v>ND</v>
      </c>
      <c r="AN36" s="431" t="str">
        <f t="shared" si="50"/>
        <v>OH</v>
      </c>
      <c r="AO36" s="431" t="str">
        <f t="shared" si="50"/>
        <v>OK</v>
      </c>
      <c r="AP36" s="431" t="str">
        <f t="shared" si="50"/>
        <v>OR</v>
      </c>
      <c r="AQ36" s="431" t="str">
        <f t="shared" si="50"/>
        <v>PA</v>
      </c>
      <c r="AR36" s="431" t="str">
        <f t="shared" si="50"/>
        <v>RI</v>
      </c>
      <c r="AS36" s="431" t="str">
        <f t="shared" si="50"/>
        <v>SC</v>
      </c>
      <c r="AT36" s="431" t="str">
        <f t="shared" si="50"/>
        <v>SD</v>
      </c>
      <c r="AU36" s="431" t="str">
        <f t="shared" si="50"/>
        <v>TN</v>
      </c>
      <c r="AV36" s="431" t="str">
        <f t="shared" si="50"/>
        <v>TX</v>
      </c>
      <c r="AW36" s="431" t="str">
        <f t="shared" si="50"/>
        <v>UT</v>
      </c>
      <c r="AX36" s="431" t="str">
        <f t="shared" si="50"/>
        <v>VT</v>
      </c>
      <c r="AY36" s="431" t="str">
        <f t="shared" si="50"/>
        <v>VA</v>
      </c>
      <c r="AZ36" s="431" t="str">
        <f t="shared" si="50"/>
        <v>WA</v>
      </c>
      <c r="BA36" s="431" t="str">
        <f t="shared" si="50"/>
        <v>WV</v>
      </c>
      <c r="BB36" s="431" t="str">
        <f t="shared" si="50"/>
        <v>WI</v>
      </c>
      <c r="BC36" s="431" t="str">
        <f t="shared" si="50"/>
        <v>WY</v>
      </c>
    </row>
    <row r="37" spans="1:55" x14ac:dyDescent="0.2">
      <c r="A37" s="84"/>
      <c r="B37" s="83" t="s">
        <v>979</v>
      </c>
      <c r="C37" s="83"/>
      <c r="D37" s="83"/>
      <c r="E37" s="431" t="s">
        <v>1055</v>
      </c>
      <c r="F37" s="430">
        <f>F13/F$17</f>
        <v>0.42041012853048843</v>
      </c>
      <c r="G37" s="430">
        <f t="shared" ref="G37:BC37" si="51">G13/G$17</f>
        <v>3.8321512023697824E-2</v>
      </c>
      <c r="H37" s="430">
        <f t="shared" si="51"/>
        <v>0.45864906135080885</v>
      </c>
      <c r="I37" s="430">
        <f t="shared" si="51"/>
        <v>0.38121958523837413</v>
      </c>
      <c r="J37" s="430">
        <f t="shared" si="51"/>
        <v>1.3994476363288816E-2</v>
      </c>
      <c r="K37" s="430">
        <f t="shared" si="51"/>
        <v>0.37013072770808614</v>
      </c>
      <c r="L37" s="430">
        <f t="shared" si="51"/>
        <v>1.5530782093002326E-2</v>
      </c>
      <c r="M37" s="430">
        <f t="shared" si="51"/>
        <v>0.12616709066589737</v>
      </c>
      <c r="N37" s="430">
        <f t="shared" si="51"/>
        <v>0.2112921984733612</v>
      </c>
      <c r="O37" s="430">
        <f t="shared" si="51"/>
        <v>0.34799472508105644</v>
      </c>
      <c r="P37" s="430">
        <f t="shared" si="51"/>
        <v>7.7902407626626591E-2</v>
      </c>
      <c r="Q37" s="430">
        <f t="shared" si="51"/>
        <v>3.9008890398276826E-2</v>
      </c>
      <c r="R37" s="430">
        <f t="shared" si="51"/>
        <v>0.41600978314338655</v>
      </c>
      <c r="S37" s="430">
        <f t="shared" si="51"/>
        <v>0.58378869969197866</v>
      </c>
      <c r="T37" s="430">
        <f t="shared" si="51"/>
        <v>0.48414122813884752</v>
      </c>
      <c r="U37" s="430">
        <f t="shared" si="51"/>
        <v>0.42936110076895678</v>
      </c>
      <c r="V37" s="430">
        <f t="shared" si="51"/>
        <v>0.62482871625692293</v>
      </c>
      <c r="W37" s="430">
        <f t="shared" si="51"/>
        <v>0.10313654123214144</v>
      </c>
      <c r="X37" s="430">
        <f t="shared" si="51"/>
        <v>5.2853602894902462E-3</v>
      </c>
      <c r="Y37" s="430">
        <f t="shared" si="51"/>
        <v>0.32829019795029113</v>
      </c>
      <c r="Z37" s="430">
        <f t="shared" si="51"/>
        <v>5.6876172359718279E-2</v>
      </c>
      <c r="AA37" s="430">
        <f t="shared" si="51"/>
        <v>0.38403732789119027</v>
      </c>
      <c r="AB37" s="430">
        <f t="shared" si="51"/>
        <v>0.29554204267837209</v>
      </c>
      <c r="AC37" s="430">
        <f t="shared" si="51"/>
        <v>0.15212637958633471</v>
      </c>
      <c r="AD37" s="430">
        <f t="shared" si="51"/>
        <v>0.55554025463513557</v>
      </c>
      <c r="AE37" s="430">
        <f t="shared" si="51"/>
        <v>0.4836839568526024</v>
      </c>
      <c r="AF37" s="430">
        <f t="shared" si="51"/>
        <v>0.50598580690062367</v>
      </c>
      <c r="AG37" s="430">
        <f t="shared" si="51"/>
        <v>0.17299259675612419</v>
      </c>
      <c r="AH37" s="430">
        <f t="shared" si="51"/>
        <v>0.12304598077048859</v>
      </c>
      <c r="AI37" s="430">
        <f t="shared" si="51"/>
        <v>3.9070314108618706E-2</v>
      </c>
      <c r="AJ37" s="430">
        <f t="shared" si="51"/>
        <v>0.45908747266198063</v>
      </c>
      <c r="AK37" s="430">
        <f t="shared" si="51"/>
        <v>6.8988141461826899E-2</v>
      </c>
      <c r="AL37" s="430">
        <f t="shared" si="51"/>
        <v>0.42286902587952646</v>
      </c>
      <c r="AM37" s="430">
        <f t="shared" si="51"/>
        <v>0.6877797989701373</v>
      </c>
      <c r="AN37" s="430">
        <f t="shared" si="51"/>
        <v>0.4701608759055676</v>
      </c>
      <c r="AO37" s="430">
        <f t="shared" si="51"/>
        <v>0.32191373917366195</v>
      </c>
      <c r="AP37" s="430">
        <f t="shared" si="51"/>
        <v>7.9209386099705265E-2</v>
      </c>
      <c r="AQ37" s="430">
        <f t="shared" si="51"/>
        <v>0.4397332211497525</v>
      </c>
      <c r="AR37" s="430">
        <f t="shared" si="51"/>
        <v>0</v>
      </c>
      <c r="AS37" s="430">
        <f t="shared" si="51"/>
        <v>0.38888924561917376</v>
      </c>
      <c r="AT37" s="430">
        <f t="shared" si="51"/>
        <v>0.19843414855749605</v>
      </c>
      <c r="AU37" s="430">
        <f t="shared" si="51"/>
        <v>0.40457588303512587</v>
      </c>
      <c r="AV37" s="430">
        <f t="shared" si="51"/>
        <v>0.20638468136730279</v>
      </c>
      <c r="AW37" s="430">
        <f t="shared" si="51"/>
        <v>0.50183858479536902</v>
      </c>
      <c r="AX37" s="430">
        <f t="shared" si="51"/>
        <v>0</v>
      </c>
      <c r="AY37" s="430">
        <f t="shared" si="51"/>
        <v>0.25120802510438883</v>
      </c>
      <c r="AZ37" s="430">
        <f t="shared" si="51"/>
        <v>6.8127237553089776E-2</v>
      </c>
      <c r="BA37" s="430">
        <f t="shared" si="51"/>
        <v>0.78292465580293169</v>
      </c>
      <c r="BB37" s="430">
        <f t="shared" si="51"/>
        <v>0.39168667020927878</v>
      </c>
      <c r="BC37" s="430">
        <f t="shared" si="51"/>
        <v>0.68580565651302416</v>
      </c>
    </row>
    <row r="38" spans="1:55" x14ac:dyDescent="0.2">
      <c r="A38" s="84"/>
      <c r="B38" s="83" t="s">
        <v>980</v>
      </c>
      <c r="C38" s="83"/>
      <c r="D38" s="83"/>
      <c r="E38" s="431" t="s">
        <v>1056</v>
      </c>
      <c r="F38" s="430">
        <f>F14/F$17</f>
        <v>0.22159952589908413</v>
      </c>
      <c r="G38" s="430">
        <f t="shared" ref="G38:BC38" si="52">G14/G$17</f>
        <v>0.4650328420820225</v>
      </c>
      <c r="H38" s="430">
        <f t="shared" si="52"/>
        <v>0.16347970001818296</v>
      </c>
      <c r="I38" s="430">
        <f t="shared" si="52"/>
        <v>0.20060926549273866</v>
      </c>
      <c r="J38" s="430">
        <f t="shared" si="52"/>
        <v>0.31025964199941336</v>
      </c>
      <c r="K38" s="430">
        <f t="shared" si="52"/>
        <v>0.26684076494352615</v>
      </c>
      <c r="L38" s="430">
        <f t="shared" si="52"/>
        <v>0.33493910843955604</v>
      </c>
      <c r="M38" s="430">
        <f t="shared" si="52"/>
        <v>0.32140890136116868</v>
      </c>
      <c r="N38" s="430">
        <f t="shared" si="52"/>
        <v>0.26385542361480435</v>
      </c>
      <c r="O38" s="430">
        <f t="shared" si="52"/>
        <v>0.16265353308400193</v>
      </c>
      <c r="P38" s="430">
        <f t="shared" si="52"/>
        <v>5.4012936098195524E-4</v>
      </c>
      <c r="Q38" s="430">
        <f t="shared" si="52"/>
        <v>0.2341929090816047</v>
      </c>
      <c r="R38" s="430">
        <f t="shared" si="52"/>
        <v>0.21767126247603635</v>
      </c>
      <c r="S38" s="430">
        <f t="shared" si="52"/>
        <v>0.15522029658512904</v>
      </c>
      <c r="T38" s="430">
        <f t="shared" si="52"/>
        <v>0.16197930621003334</v>
      </c>
      <c r="U38" s="430">
        <f t="shared" si="52"/>
        <v>0.19683264959846183</v>
      </c>
      <c r="V38" s="430">
        <f t="shared" si="52"/>
        <v>7.8886138763340705E-2</v>
      </c>
      <c r="W38" s="430">
        <f t="shared" si="52"/>
        <v>0.32033623400783978</v>
      </c>
      <c r="X38" s="430">
        <f t="shared" si="52"/>
        <v>0.14553178099433603</v>
      </c>
      <c r="Y38" s="430">
        <f t="shared" si="52"/>
        <v>0.15124974756890652</v>
      </c>
      <c r="Z38" s="430">
        <f t="shared" si="52"/>
        <v>0.34048186945118958</v>
      </c>
      <c r="AA38" s="430">
        <f t="shared" si="52"/>
        <v>0.24418308924328982</v>
      </c>
      <c r="AB38" s="430">
        <f t="shared" si="52"/>
        <v>0.22213346562615283</v>
      </c>
      <c r="AC38" s="430">
        <f t="shared" si="52"/>
        <v>0.34673954252495887</v>
      </c>
      <c r="AD38" s="430">
        <f t="shared" si="52"/>
        <v>0.10324365602974496</v>
      </c>
      <c r="AE38" s="430">
        <f t="shared" si="52"/>
        <v>0.1295236543592041</v>
      </c>
      <c r="AF38" s="430">
        <f t="shared" si="52"/>
        <v>0.17188064338971984</v>
      </c>
      <c r="AG38" s="430">
        <f t="shared" si="52"/>
        <v>0.39468567974714253</v>
      </c>
      <c r="AH38" s="430">
        <f t="shared" si="52"/>
        <v>0.20182577576782562</v>
      </c>
      <c r="AI38" s="430">
        <f t="shared" si="52"/>
        <v>0.29781955113103875</v>
      </c>
      <c r="AJ38" s="430">
        <f t="shared" si="52"/>
        <v>0.22671430757184385</v>
      </c>
      <c r="AK38" s="430">
        <f t="shared" si="52"/>
        <v>0.3834815970967469</v>
      </c>
      <c r="AL38" s="430">
        <f t="shared" si="52"/>
        <v>0.11755665740437898</v>
      </c>
      <c r="AM38" s="430">
        <f t="shared" si="52"/>
        <v>7.0202447848510499E-2</v>
      </c>
      <c r="AN38" s="430">
        <f t="shared" si="52"/>
        <v>0.18149716920436337</v>
      </c>
      <c r="AO38" s="430">
        <f t="shared" si="52"/>
        <v>0.32149222292628848</v>
      </c>
      <c r="AP38" s="430">
        <f t="shared" si="52"/>
        <v>0.25656850643625456</v>
      </c>
      <c r="AQ38" s="430">
        <f t="shared" si="52"/>
        <v>0.20205184668731049</v>
      </c>
      <c r="AR38" s="430">
        <f t="shared" si="52"/>
        <v>0.48086320810039479</v>
      </c>
      <c r="AS38" s="430">
        <f t="shared" si="52"/>
        <v>0.1395858163819218</v>
      </c>
      <c r="AT38" s="430">
        <f t="shared" si="52"/>
        <v>0.25532061713983406</v>
      </c>
      <c r="AU38" s="430">
        <f t="shared" si="52"/>
        <v>0.12137687182325411</v>
      </c>
      <c r="AV38" s="430">
        <f t="shared" si="52"/>
        <v>0.25528713942364861</v>
      </c>
      <c r="AW38" s="430">
        <f t="shared" si="52"/>
        <v>0.18656882455977117</v>
      </c>
      <c r="AX38" s="430">
        <f t="shared" si="52"/>
        <v>6.3028254044916687E-2</v>
      </c>
      <c r="AY38" s="430">
        <f t="shared" si="52"/>
        <v>0.18636191025821322</v>
      </c>
      <c r="AZ38" s="430">
        <f t="shared" si="52"/>
        <v>0.18158368726512641</v>
      </c>
      <c r="BA38" s="430">
        <f t="shared" si="52"/>
        <v>6.634932200891297E-2</v>
      </c>
      <c r="BB38" s="430">
        <f t="shared" si="52"/>
        <v>0.19506355323996308</v>
      </c>
      <c r="BC38" s="430">
        <f t="shared" si="52"/>
        <v>0.13242043077561025</v>
      </c>
    </row>
    <row r="39" spans="1:55" x14ac:dyDescent="0.2">
      <c r="A39" s="84"/>
      <c r="B39" s="83" t="s">
        <v>981</v>
      </c>
      <c r="C39" s="83"/>
      <c r="D39" s="83"/>
      <c r="E39" s="431" t="s">
        <v>1057</v>
      </c>
      <c r="F39" s="430">
        <f>F15/F$17</f>
        <v>0.2640835816125498</v>
      </c>
      <c r="G39" s="430">
        <f t="shared" ref="G39:BC39" si="53">G15/G$17</f>
        <v>0.49143530017846965</v>
      </c>
      <c r="H39" s="430">
        <f t="shared" si="53"/>
        <v>0.37174886727548684</v>
      </c>
      <c r="I39" s="430">
        <f t="shared" si="53"/>
        <v>0.31113204169975683</v>
      </c>
      <c r="J39" s="430">
        <f t="shared" si="53"/>
        <v>0.64140477023375642</v>
      </c>
      <c r="K39" s="430">
        <f t="shared" si="53"/>
        <v>0.35309967888574612</v>
      </c>
      <c r="L39" s="430">
        <f t="shared" si="53"/>
        <v>0.59797359707834197</v>
      </c>
      <c r="M39" s="430">
        <f t="shared" si="53"/>
        <v>0.53240315770148705</v>
      </c>
      <c r="N39" s="430">
        <f t="shared" si="53"/>
        <v>0.45857842182834996</v>
      </c>
      <c r="O39" s="430">
        <f t="shared" si="53"/>
        <v>0.40657263875474375</v>
      </c>
      <c r="P39" s="430">
        <f t="shared" si="53"/>
        <v>0.88653232449171571</v>
      </c>
      <c r="Q39" s="430">
        <f t="shared" si="53"/>
        <v>0.60032286428069659</v>
      </c>
      <c r="R39" s="430">
        <f t="shared" si="53"/>
        <v>0.35345835038180923</v>
      </c>
      <c r="S39" s="430">
        <f t="shared" si="53"/>
        <v>0.248795588733007</v>
      </c>
      <c r="T39" s="430">
        <f t="shared" si="53"/>
        <v>0.32878220367127808</v>
      </c>
      <c r="U39" s="430">
        <f t="shared" si="53"/>
        <v>0.36710741534386343</v>
      </c>
      <c r="V39" s="430">
        <f t="shared" si="53"/>
        <v>0.28319870754643461</v>
      </c>
      <c r="W39" s="430">
        <f t="shared" si="53"/>
        <v>0.54247155661201174</v>
      </c>
      <c r="X39" s="430">
        <f t="shared" si="53"/>
        <v>0.49952800503461292</v>
      </c>
      <c r="Y39" s="430">
        <f t="shared" si="53"/>
        <v>0.48466769939207616</v>
      </c>
      <c r="Z39" s="430">
        <f t="shared" si="53"/>
        <v>0.5610715975344841</v>
      </c>
      <c r="AA39" s="430">
        <f t="shared" si="53"/>
        <v>0.32967146576019418</v>
      </c>
      <c r="AB39" s="430">
        <f t="shared" si="53"/>
        <v>0.4221755403178773</v>
      </c>
      <c r="AC39" s="430">
        <f t="shared" si="53"/>
        <v>0.43072580984877201</v>
      </c>
      <c r="AD39" s="430">
        <f t="shared" si="53"/>
        <v>0.32148624795002434</v>
      </c>
      <c r="AE39" s="430">
        <f t="shared" si="53"/>
        <v>0.37341913936012056</v>
      </c>
      <c r="AF39" s="430">
        <f t="shared" si="53"/>
        <v>0.3097875652880922</v>
      </c>
      <c r="AG39" s="430">
        <f t="shared" si="53"/>
        <v>0.42625437438161934</v>
      </c>
      <c r="AH39" s="430">
        <f t="shared" si="53"/>
        <v>0.55502088336152045</v>
      </c>
      <c r="AI39" s="430">
        <f t="shared" si="53"/>
        <v>0.64189038182951952</v>
      </c>
      <c r="AJ39" s="430">
        <f t="shared" si="53"/>
        <v>0.30252574798921178</v>
      </c>
      <c r="AK39" s="430">
        <f t="shared" si="53"/>
        <v>0.5147123272925781</v>
      </c>
      <c r="AL39" s="430">
        <f t="shared" si="53"/>
        <v>0.39427314231425814</v>
      </c>
      <c r="AM39" s="430">
        <f t="shared" si="53"/>
        <v>0.23802713619550372</v>
      </c>
      <c r="AN39" s="430">
        <f t="shared" si="53"/>
        <v>0.33097047648193978</v>
      </c>
      <c r="AO39" s="430">
        <f t="shared" si="53"/>
        <v>0.33600979659169483</v>
      </c>
      <c r="AP39" s="430">
        <f t="shared" si="53"/>
        <v>0.56931254250950936</v>
      </c>
      <c r="AQ39" s="430">
        <f t="shared" si="53"/>
        <v>0.32948250264932538</v>
      </c>
      <c r="AR39" s="430">
        <f t="shared" si="53"/>
        <v>0.49603190116892759</v>
      </c>
      <c r="AS39" s="430">
        <f t="shared" si="53"/>
        <v>0.38171238110385403</v>
      </c>
      <c r="AT39" s="430">
        <f t="shared" si="53"/>
        <v>0.53548324027165195</v>
      </c>
      <c r="AU39" s="430">
        <f t="shared" si="53"/>
        <v>0.43243835230661815</v>
      </c>
      <c r="AV39" s="430">
        <f t="shared" si="53"/>
        <v>0.52927001246457739</v>
      </c>
      <c r="AW39" s="430">
        <f t="shared" si="53"/>
        <v>0.30787361971297311</v>
      </c>
      <c r="AX39" s="430">
        <f t="shared" si="53"/>
        <v>0.74667954600338082</v>
      </c>
      <c r="AY39" s="430">
        <f t="shared" si="53"/>
        <v>0.49249085191758146</v>
      </c>
      <c r="AZ39" s="430">
        <f t="shared" si="53"/>
        <v>0.6440595050143425</v>
      </c>
      <c r="BA39" s="430">
        <f t="shared" si="53"/>
        <v>0.13337152211666201</v>
      </c>
      <c r="BB39" s="430">
        <f t="shared" si="53"/>
        <v>0.33904834036765796</v>
      </c>
      <c r="BC39" s="430">
        <f t="shared" si="53"/>
        <v>0.18016162440093328</v>
      </c>
    </row>
    <row r="40" spans="1:55" x14ac:dyDescent="0.2">
      <c r="A40" s="84"/>
      <c r="B40" s="83" t="s">
        <v>982</v>
      </c>
      <c r="C40" s="83"/>
      <c r="D40" s="83"/>
      <c r="E40" s="431" t="s">
        <v>978</v>
      </c>
      <c r="F40" s="430">
        <f>F16/F$17</f>
        <v>9.3906763957877587E-2</v>
      </c>
      <c r="G40" s="430">
        <f t="shared" ref="G40:BC40" si="54">G16/G$17</f>
        <v>5.2103457158101983E-3</v>
      </c>
      <c r="H40" s="430">
        <f t="shared" si="54"/>
        <v>6.1223713555214991E-3</v>
      </c>
      <c r="I40" s="430">
        <f t="shared" si="54"/>
        <v>0.10703910756913031</v>
      </c>
      <c r="J40" s="430">
        <f t="shared" si="54"/>
        <v>3.4341111403541395E-2</v>
      </c>
      <c r="K40" s="430">
        <f t="shared" si="54"/>
        <v>9.9288284626415941E-3</v>
      </c>
      <c r="L40" s="430">
        <f t="shared" si="54"/>
        <v>5.1556512389099682E-2</v>
      </c>
      <c r="M40" s="430">
        <f t="shared" si="54"/>
        <v>2.0020850271446931E-2</v>
      </c>
      <c r="N40" s="430">
        <f t="shared" si="54"/>
        <v>6.627395608348452E-2</v>
      </c>
      <c r="O40" s="430">
        <f t="shared" si="54"/>
        <v>8.277910308019773E-2</v>
      </c>
      <c r="P40" s="430">
        <f t="shared" si="54"/>
        <v>3.5025138520675701E-2</v>
      </c>
      <c r="Q40" s="430">
        <f t="shared" si="54"/>
        <v>0.12647533623942203</v>
      </c>
      <c r="R40" s="430">
        <f t="shared" si="54"/>
        <v>1.2860603998767914E-2</v>
      </c>
      <c r="S40" s="430">
        <f t="shared" si="54"/>
        <v>1.2195414989885349E-2</v>
      </c>
      <c r="T40" s="430">
        <f t="shared" si="54"/>
        <v>2.5097261979841086E-2</v>
      </c>
      <c r="U40" s="430">
        <f t="shared" si="54"/>
        <v>6.6988342887178559E-3</v>
      </c>
      <c r="V40" s="430">
        <f t="shared" si="54"/>
        <v>1.3086437433301786E-2</v>
      </c>
      <c r="W40" s="430">
        <f t="shared" si="54"/>
        <v>3.4055668148007069E-2</v>
      </c>
      <c r="X40" s="430">
        <f t="shared" si="54"/>
        <v>0.34965485368156068</v>
      </c>
      <c r="Y40" s="430">
        <f t="shared" si="54"/>
        <v>3.5792355088725962E-2</v>
      </c>
      <c r="Z40" s="430">
        <f t="shared" si="54"/>
        <v>4.1570360654608146E-2</v>
      </c>
      <c r="AA40" s="430">
        <f t="shared" si="54"/>
        <v>4.2108117105325735E-2</v>
      </c>
      <c r="AB40" s="430">
        <f t="shared" si="54"/>
        <v>6.0148951377597709E-2</v>
      </c>
      <c r="AC40" s="430">
        <f t="shared" si="54"/>
        <v>7.0408268039934288E-2</v>
      </c>
      <c r="AD40" s="430">
        <f t="shared" si="54"/>
        <v>1.9729841385094954E-2</v>
      </c>
      <c r="AE40" s="430">
        <f t="shared" si="54"/>
        <v>1.3373249428072963E-2</v>
      </c>
      <c r="AF40" s="430">
        <f t="shared" si="54"/>
        <v>1.2345984421564409E-2</v>
      </c>
      <c r="AG40" s="430">
        <f t="shared" si="54"/>
        <v>6.0673491151140907E-3</v>
      </c>
      <c r="AH40" s="430">
        <f t="shared" si="54"/>
        <v>0.12010736010016539</v>
      </c>
      <c r="AI40" s="430">
        <f t="shared" si="54"/>
        <v>2.1219752930823125E-2</v>
      </c>
      <c r="AJ40" s="430">
        <f t="shared" si="54"/>
        <v>1.1672471776963763E-2</v>
      </c>
      <c r="AK40" s="430">
        <f t="shared" si="54"/>
        <v>3.2817934148848107E-2</v>
      </c>
      <c r="AL40" s="430">
        <f t="shared" si="54"/>
        <v>6.5301174401836387E-2</v>
      </c>
      <c r="AM40" s="430">
        <f t="shared" si="54"/>
        <v>3.9906169858485024E-3</v>
      </c>
      <c r="AN40" s="430">
        <f t="shared" si="54"/>
        <v>1.7371478408129311E-2</v>
      </c>
      <c r="AO40" s="430">
        <f t="shared" si="54"/>
        <v>2.0584241308354768E-2</v>
      </c>
      <c r="AP40" s="430">
        <f t="shared" si="54"/>
        <v>9.4909564954530554E-2</v>
      </c>
      <c r="AQ40" s="430">
        <f t="shared" si="54"/>
        <v>2.8732429513611674E-2</v>
      </c>
      <c r="AR40" s="430">
        <f t="shared" si="54"/>
        <v>2.3104890730677508E-2</v>
      </c>
      <c r="AS40" s="430">
        <f t="shared" si="54"/>
        <v>8.9812556895050327E-2</v>
      </c>
      <c r="AT40" s="430">
        <f t="shared" si="54"/>
        <v>1.0761994031018006E-2</v>
      </c>
      <c r="AU40" s="430">
        <f t="shared" si="54"/>
        <v>4.1608892835001847E-2</v>
      </c>
      <c r="AV40" s="430">
        <f t="shared" si="54"/>
        <v>9.0581667444711786E-3</v>
      </c>
      <c r="AW40" s="430">
        <f t="shared" si="54"/>
        <v>3.7189709318867373E-3</v>
      </c>
      <c r="AX40" s="430">
        <f t="shared" si="54"/>
        <v>0.19029219995170252</v>
      </c>
      <c r="AY40" s="430">
        <f t="shared" si="54"/>
        <v>6.9939212719816402E-2</v>
      </c>
      <c r="AZ40" s="430">
        <f t="shared" si="54"/>
        <v>0.10622957016744125</v>
      </c>
      <c r="BA40" s="430">
        <f t="shared" si="54"/>
        <v>1.7354500071493299E-2</v>
      </c>
      <c r="BB40" s="430">
        <f t="shared" si="54"/>
        <v>7.4201436183100114E-2</v>
      </c>
      <c r="BC40" s="430">
        <f t="shared" si="54"/>
        <v>1.6122883104323375E-3</v>
      </c>
    </row>
    <row r="41" spans="1:55" x14ac:dyDescent="0.2">
      <c r="A41" s="84"/>
      <c r="B41" s="83"/>
      <c r="C41" s="83"/>
      <c r="D41" s="83"/>
      <c r="E41" s="83"/>
      <c r="F41" s="83"/>
      <c r="G41" s="83"/>
    </row>
    <row r="42" spans="1:55" x14ac:dyDescent="0.2">
      <c r="A42" s="84"/>
      <c r="B42" s="83"/>
      <c r="C42" s="83"/>
      <c r="D42" s="83"/>
      <c r="E42" s="83"/>
      <c r="F42" s="83"/>
      <c r="G42" s="83"/>
    </row>
    <row r="43" spans="1:55" x14ac:dyDescent="0.2">
      <c r="A43" s="84"/>
      <c r="B43" s="83"/>
      <c r="C43" s="83"/>
      <c r="D43" s="83"/>
      <c r="E43" s="83"/>
      <c r="F43" s="83"/>
      <c r="G43" s="83"/>
    </row>
    <row r="44" spans="1:55" x14ac:dyDescent="0.2">
      <c r="A44" s="84"/>
      <c r="B44" s="83"/>
      <c r="C44" s="83"/>
      <c r="D44" s="83"/>
      <c r="E44" s="83"/>
      <c r="F44" s="83"/>
      <c r="G44" s="83"/>
    </row>
    <row r="45" spans="1:55" x14ac:dyDescent="0.2">
      <c r="A45" s="84"/>
      <c r="B45" s="83"/>
      <c r="C45" s="83"/>
      <c r="D45" s="83"/>
      <c r="E45" s="83"/>
      <c r="F45" s="83"/>
      <c r="G45" s="83"/>
    </row>
    <row r="46" spans="1:55" x14ac:dyDescent="0.2">
      <c r="A46" s="84"/>
      <c r="B46" s="83"/>
      <c r="C46" s="83"/>
      <c r="D46" s="83"/>
      <c r="E46" s="83"/>
      <c r="F46" s="83"/>
      <c r="G46" s="83"/>
    </row>
    <row r="47" spans="1:55" x14ac:dyDescent="0.2">
      <c r="A47" s="84"/>
      <c r="B47" s="83"/>
      <c r="C47" s="83"/>
      <c r="D47" s="83"/>
      <c r="E47" s="83"/>
      <c r="F47" s="83"/>
      <c r="G47" s="83"/>
    </row>
    <row r="48" spans="1:55" x14ac:dyDescent="0.2">
      <c r="A48" s="84"/>
      <c r="B48" s="83"/>
      <c r="C48" s="83"/>
      <c r="D48" s="83"/>
      <c r="E48" s="83"/>
      <c r="F48" s="83"/>
      <c r="G48" s="83"/>
    </row>
    <row r="49" spans="1:7" x14ac:dyDescent="0.2">
      <c r="A49" s="84"/>
      <c r="B49" s="83"/>
      <c r="C49" s="83"/>
      <c r="D49" s="83"/>
      <c r="E49" s="83"/>
      <c r="F49" s="83"/>
      <c r="G49" s="83"/>
    </row>
    <row r="50" spans="1:7" x14ac:dyDescent="0.2">
      <c r="A50" s="84"/>
      <c r="B50" s="83"/>
      <c r="C50" s="83"/>
      <c r="D50" s="83"/>
      <c r="E50" s="83"/>
      <c r="F50" s="83"/>
      <c r="G50" s="83"/>
    </row>
    <row r="51" spans="1:7" x14ac:dyDescent="0.2">
      <c r="A51" s="84"/>
      <c r="B51" s="83"/>
      <c r="C51" s="83"/>
      <c r="D51" s="83"/>
      <c r="E51" s="83"/>
      <c r="F51" s="83"/>
      <c r="G51" s="83"/>
    </row>
    <row r="52" spans="1:7" x14ac:dyDescent="0.2">
      <c r="A52" s="52"/>
      <c r="B52" s="85"/>
      <c r="D52" s="52"/>
      <c r="E52" s="52"/>
      <c r="F52" s="52"/>
      <c r="G52" s="52"/>
    </row>
    <row r="53" spans="1:7" x14ac:dyDescent="0.2">
      <c r="A53" s="52"/>
      <c r="B53" s="52"/>
      <c r="C53" s="52"/>
      <c r="D53" s="52"/>
      <c r="E53" s="52"/>
      <c r="F53" s="52"/>
      <c r="G53" s="52"/>
    </row>
    <row r="54" spans="1:7" x14ac:dyDescent="0.2">
      <c r="A54" s="52"/>
      <c r="B54" s="52"/>
      <c r="C54" s="52"/>
      <c r="D54" s="52"/>
      <c r="E54" s="52"/>
      <c r="F54" s="52"/>
      <c r="G54" s="52"/>
    </row>
    <row r="55" spans="1:7" x14ac:dyDescent="0.2">
      <c r="A55" s="52"/>
      <c r="B55" s="52"/>
      <c r="C55" s="52"/>
      <c r="D55" s="52"/>
      <c r="E55" s="52"/>
      <c r="F55" s="52"/>
      <c r="G55" s="52"/>
    </row>
    <row r="56" spans="1:7" x14ac:dyDescent="0.2">
      <c r="A56" s="52"/>
      <c r="D56" s="52"/>
      <c r="E56" s="52"/>
      <c r="F56" s="52"/>
      <c r="G56" s="52"/>
    </row>
    <row r="57" spans="1:7" x14ac:dyDescent="0.2">
      <c r="A57" s="52"/>
      <c r="B57" s="52"/>
      <c r="C57" s="52"/>
      <c r="D57" s="52"/>
      <c r="E57" s="52"/>
      <c r="F57" s="52"/>
      <c r="G57" s="52"/>
    </row>
    <row r="58" spans="1:7" x14ac:dyDescent="0.2">
      <c r="A58" s="52"/>
      <c r="B58" s="52"/>
      <c r="C58" s="52"/>
      <c r="D58" s="52"/>
      <c r="E58" s="52"/>
      <c r="F58" s="52"/>
      <c r="G58" s="52"/>
    </row>
    <row r="59" spans="1:7" x14ac:dyDescent="0.2">
      <c r="A59" s="52"/>
      <c r="B59" s="52"/>
      <c r="C59" s="52"/>
      <c r="D59" s="52"/>
      <c r="E59" s="52"/>
      <c r="F59" s="52"/>
      <c r="G59" s="52"/>
    </row>
    <row r="60" spans="1:7" x14ac:dyDescent="0.2">
      <c r="A60" s="52"/>
      <c r="B60" s="52"/>
      <c r="C60" s="52"/>
      <c r="D60" s="52"/>
      <c r="E60" s="52"/>
      <c r="F60" s="52"/>
      <c r="G60" s="52"/>
    </row>
    <row r="61" spans="1:7" x14ac:dyDescent="0.2">
      <c r="A61" s="52"/>
      <c r="B61" s="74"/>
      <c r="C61" s="74"/>
      <c r="D61" s="52"/>
      <c r="E61" s="52"/>
      <c r="F61" s="52"/>
      <c r="G61" s="52"/>
    </row>
    <row r="62" spans="1:7" x14ac:dyDescent="0.2">
      <c r="A62" s="52"/>
      <c r="B62" s="52"/>
      <c r="C62" s="52"/>
      <c r="D62" s="52"/>
      <c r="E62" s="52"/>
      <c r="F62" s="52"/>
      <c r="G62" s="52"/>
    </row>
    <row r="63" spans="1:7" x14ac:dyDescent="0.2">
      <c r="A63" s="52"/>
      <c r="B63" s="52"/>
      <c r="C63" s="52"/>
      <c r="D63" s="52"/>
      <c r="E63" s="52"/>
      <c r="F63" s="52"/>
      <c r="G63" s="52"/>
    </row>
    <row r="79" spans="5:56" x14ac:dyDescent="0.2">
      <c r="E79" s="126" t="str">
        <f>E3</f>
        <v>US</v>
      </c>
      <c r="F79" s="126" t="str">
        <f t="shared" ref="F79:BB79" si="55">F3</f>
        <v>AL</v>
      </c>
      <c r="G79" s="126" t="str">
        <f t="shared" si="55"/>
        <v>AK</v>
      </c>
      <c r="H79" s="126" t="str">
        <f t="shared" si="55"/>
        <v>AZ</v>
      </c>
      <c r="I79" s="126" t="str">
        <f t="shared" si="55"/>
        <v>AR</v>
      </c>
      <c r="J79" s="126" t="str">
        <f t="shared" si="55"/>
        <v>CA</v>
      </c>
      <c r="K79" s="126" t="str">
        <f t="shared" si="55"/>
        <v>CO</v>
      </c>
      <c r="L79" s="126" t="str">
        <f t="shared" si="55"/>
        <v>CT</v>
      </c>
      <c r="M79" s="126" t="str">
        <f t="shared" si="55"/>
        <v>DE</v>
      </c>
      <c r="N79" s="126" t="str">
        <f t="shared" si="55"/>
        <v>FL</v>
      </c>
      <c r="O79" s="126" t="str">
        <f t="shared" si="55"/>
        <v>GA</v>
      </c>
      <c r="P79" s="126" t="str">
        <f t="shared" si="55"/>
        <v>HI</v>
      </c>
      <c r="Q79" s="126" t="str">
        <f t="shared" si="55"/>
        <v>ID</v>
      </c>
      <c r="R79" s="126" t="str">
        <f t="shared" si="55"/>
        <v>IL</v>
      </c>
      <c r="S79" s="126" t="str">
        <f t="shared" si="55"/>
        <v>IN</v>
      </c>
      <c r="T79" s="126" t="str">
        <f t="shared" si="55"/>
        <v>IA</v>
      </c>
      <c r="U79" s="126" t="str">
        <f t="shared" si="55"/>
        <v>KS</v>
      </c>
      <c r="V79" s="126" t="str">
        <f t="shared" si="55"/>
        <v>KY</v>
      </c>
      <c r="W79" s="126" t="str">
        <f t="shared" si="55"/>
        <v>LA</v>
      </c>
      <c r="X79" s="126" t="str">
        <f t="shared" si="55"/>
        <v>ME</v>
      </c>
      <c r="Y79" s="126" t="str">
        <f t="shared" si="55"/>
        <v>MD</v>
      </c>
      <c r="Z79" s="126" t="str">
        <f t="shared" si="55"/>
        <v>MA</v>
      </c>
      <c r="AA79" s="126" t="str">
        <f t="shared" si="55"/>
        <v>MI</v>
      </c>
      <c r="AB79" s="126" t="str">
        <f t="shared" si="55"/>
        <v>MN</v>
      </c>
      <c r="AC79" s="126" t="str">
        <f t="shared" si="55"/>
        <v>MS</v>
      </c>
      <c r="AD79" s="126" t="str">
        <f t="shared" si="55"/>
        <v>MO</v>
      </c>
      <c r="AE79" s="126" t="str">
        <f t="shared" si="55"/>
        <v>MT</v>
      </c>
      <c r="AF79" s="126" t="str">
        <f t="shared" si="55"/>
        <v>NE</v>
      </c>
      <c r="AG79" s="126" t="str">
        <f t="shared" si="55"/>
        <v>NV</v>
      </c>
      <c r="AH79" s="126" t="str">
        <f t="shared" si="55"/>
        <v>NH</v>
      </c>
      <c r="AI79" s="126" t="str">
        <f t="shared" si="55"/>
        <v>NJ</v>
      </c>
      <c r="AJ79" s="126" t="str">
        <f t="shared" si="55"/>
        <v>NM</v>
      </c>
      <c r="AK79" s="126" t="str">
        <f t="shared" si="55"/>
        <v>NY</v>
      </c>
      <c r="AL79" s="126" t="str">
        <f t="shared" si="55"/>
        <v>NC</v>
      </c>
      <c r="AM79" s="126" t="str">
        <f t="shared" si="55"/>
        <v>ND</v>
      </c>
      <c r="AN79" s="126" t="str">
        <f t="shared" si="55"/>
        <v>OH</v>
      </c>
      <c r="AO79" s="126" t="str">
        <f t="shared" si="55"/>
        <v>OK</v>
      </c>
      <c r="AP79" s="126" t="str">
        <f t="shared" si="55"/>
        <v>OR</v>
      </c>
      <c r="AQ79" s="126" t="str">
        <f t="shared" si="55"/>
        <v>PA</v>
      </c>
      <c r="AR79" s="126" t="str">
        <f t="shared" si="55"/>
        <v>RI</v>
      </c>
      <c r="AS79" s="126" t="str">
        <f t="shared" si="55"/>
        <v>SC</v>
      </c>
      <c r="AT79" s="126" t="str">
        <f t="shared" si="55"/>
        <v>SD</v>
      </c>
      <c r="AU79" s="126" t="str">
        <f t="shared" si="55"/>
        <v>TN</v>
      </c>
      <c r="AV79" s="126" t="str">
        <f t="shared" si="55"/>
        <v>TX</v>
      </c>
      <c r="AW79" s="126" t="str">
        <f t="shared" si="55"/>
        <v>UT</v>
      </c>
      <c r="AX79" s="126" t="str">
        <f t="shared" si="55"/>
        <v>VT</v>
      </c>
      <c r="AY79" s="126" t="str">
        <f t="shared" si="55"/>
        <v>VA</v>
      </c>
      <c r="AZ79" s="126" t="str">
        <f t="shared" si="55"/>
        <v>WA</v>
      </c>
      <c r="BA79" s="126" t="str">
        <f t="shared" si="55"/>
        <v>WV</v>
      </c>
      <c r="BB79" s="126" t="str">
        <f t="shared" si="55"/>
        <v>WI</v>
      </c>
      <c r="BC79" s="126" t="str">
        <f>BC3</f>
        <v>WY</v>
      </c>
      <c r="BD79" s="126"/>
    </row>
    <row r="80" spans="5:56" x14ac:dyDescent="0.2">
      <c r="E80" s="496">
        <f>'GPI Per Capita Graphs'!D34</f>
        <v>310968796</v>
      </c>
      <c r="F80" s="496">
        <f>'GPI Per Capita Graphs'!E34</f>
        <v>4803689</v>
      </c>
      <c r="G80" s="496">
        <f>'GPI Per Capita Graphs'!F34</f>
        <v>723860</v>
      </c>
      <c r="H80" s="496">
        <f>'GPI Per Capita Graphs'!G34</f>
        <v>6467315</v>
      </c>
      <c r="I80" s="496">
        <f>'GPI Per Capita Graphs'!H34</f>
        <v>2938582</v>
      </c>
      <c r="J80" s="496">
        <f>'GPI Per Capita Graphs'!I34</f>
        <v>37683933</v>
      </c>
      <c r="K80" s="496">
        <f>'GPI Per Capita Graphs'!J34</f>
        <v>5116302</v>
      </c>
      <c r="L80" s="496">
        <f>'GPI Per Capita Graphs'!K34</f>
        <v>3586717</v>
      </c>
      <c r="M80" s="496">
        <f>'GPI Per Capita Graphs'!L34</f>
        <v>908137</v>
      </c>
      <c r="N80" s="496">
        <f>'GPI Per Capita Graphs'!M34</f>
        <v>19082262</v>
      </c>
      <c r="O80" s="496">
        <f>'GPI Per Capita Graphs'!N34</f>
        <v>9812460</v>
      </c>
      <c r="P80" s="496">
        <f>'GPI Per Capita Graphs'!O34</f>
        <v>1378129</v>
      </c>
      <c r="Q80" s="496">
        <f>'GPI Per Capita Graphs'!P34</f>
        <v>1583744</v>
      </c>
      <c r="R80" s="496">
        <f>'GPI Per Capita Graphs'!Q34</f>
        <v>12859752</v>
      </c>
      <c r="S80" s="496">
        <f>'GPI Per Capita Graphs'!R34</f>
        <v>6516353</v>
      </c>
      <c r="T80" s="496">
        <f>'GPI Per Capita Graphs'!S34</f>
        <v>3064097</v>
      </c>
      <c r="U80" s="496">
        <f>'GPI Per Capita Graphs'!T34</f>
        <v>2870386</v>
      </c>
      <c r="V80" s="496">
        <f>'GPI Per Capita Graphs'!U34</f>
        <v>4366814</v>
      </c>
      <c r="W80" s="496">
        <f>'GPI Per Capita Graphs'!V34</f>
        <v>4574766</v>
      </c>
      <c r="X80" s="496">
        <f>'GPI Per Capita Graphs'!W34</f>
        <v>1328544</v>
      </c>
      <c r="Y80" s="496">
        <f>'GPI Per Capita Graphs'!X34</f>
        <v>5839572</v>
      </c>
      <c r="Z80" s="496">
        <f>'GPI Per Capita Graphs'!Y34</f>
        <v>6607003</v>
      </c>
      <c r="AA80" s="496">
        <f>'GPI Per Capita Graphs'!Z34</f>
        <v>9876801</v>
      </c>
      <c r="AB80" s="496">
        <f>'GPI Per Capita Graphs'!AA34</f>
        <v>5347299</v>
      </c>
      <c r="AC80" s="496">
        <f>'GPI Per Capita Graphs'!AB34</f>
        <v>2977457</v>
      </c>
      <c r="AD80" s="496">
        <f>'GPI Per Capita Graphs'!AC34</f>
        <v>6008984</v>
      </c>
      <c r="AE80" s="496">
        <f>'GPI Per Capita Graphs'!AD34</f>
        <v>997667</v>
      </c>
      <c r="AF80" s="496">
        <f>'GPI Per Capita Graphs'!AE34</f>
        <v>1842234</v>
      </c>
      <c r="AG80" s="496">
        <f>'GPI Per Capita Graphs'!AF34</f>
        <v>2720028</v>
      </c>
      <c r="AH80" s="496">
        <f>'GPI Per Capita Graphs'!AG34</f>
        <v>1317807</v>
      </c>
      <c r="AI80" s="496">
        <f>'GPI Per Capita Graphs'!AH34</f>
        <v>8834773</v>
      </c>
      <c r="AJ80" s="496">
        <f>'GPI Per Capita Graphs'!AI34</f>
        <v>2078674</v>
      </c>
      <c r="AK80" s="496">
        <f>'GPI Per Capita Graphs'!AJ34</f>
        <v>19501616</v>
      </c>
      <c r="AL80" s="496">
        <f>'GPI Per Capita Graphs'!AK34</f>
        <v>9651103</v>
      </c>
      <c r="AM80" s="496">
        <f>'GPI Per Capita Graphs'!AL34</f>
        <v>684740</v>
      </c>
      <c r="AN80" s="496">
        <f>'GPI Per Capita Graphs'!AM34</f>
        <v>11541007</v>
      </c>
      <c r="AO80" s="496">
        <f>'GPI Per Capita Graphs'!AN34</f>
        <v>3784163</v>
      </c>
      <c r="AP80" s="496">
        <f>'GPI Per Capita Graphs'!AO34</f>
        <v>3868229</v>
      </c>
      <c r="AQ80" s="496">
        <f>'GPI Per Capita Graphs'!AP34</f>
        <v>12743948</v>
      </c>
      <c r="AR80" s="496">
        <f>'GPI Per Capita Graphs'!AQ34</f>
        <v>1050646</v>
      </c>
      <c r="AS80" s="496">
        <f>'GPI Per Capita Graphs'!AR34</f>
        <v>4673348</v>
      </c>
      <c r="AT80" s="496">
        <f>'GPI Per Capita Graphs'!AS34</f>
        <v>823593</v>
      </c>
      <c r="AU80" s="496">
        <f>'GPI Per Capita Graphs'!AT34</f>
        <v>6399787</v>
      </c>
      <c r="AV80" s="496">
        <f>'GPI Per Capita Graphs'!AU34</f>
        <v>25631778</v>
      </c>
      <c r="AW80" s="496">
        <f>'GPI Per Capita Graphs'!AV34</f>
        <v>2814347</v>
      </c>
      <c r="AX80" s="496">
        <f>'GPI Per Capita Graphs'!AW34</f>
        <v>626592</v>
      </c>
      <c r="AY80" s="496">
        <f>'GPI Per Capita Graphs'!AX34</f>
        <v>8104384</v>
      </c>
      <c r="AZ80" s="496">
        <f>'GPI Per Capita Graphs'!AY34</f>
        <v>6823267</v>
      </c>
      <c r="BA80" s="496">
        <f>'GPI Per Capita Graphs'!AZ34</f>
        <v>1854908</v>
      </c>
      <c r="BB80" s="496">
        <f>'GPI Per Capita Graphs'!BA34</f>
        <v>5709843</v>
      </c>
      <c r="BC80" s="496">
        <f>'GPI Per Capita Graphs'!BB34</f>
        <v>567356</v>
      </c>
      <c r="BD80" s="496"/>
    </row>
    <row r="81" spans="4:55" x14ac:dyDescent="0.2">
      <c r="D81" s="431" t="s">
        <v>1059</v>
      </c>
      <c r="E81" s="497">
        <f>E13/E$80</f>
        <v>6.166665896752483</v>
      </c>
      <c r="F81" s="497">
        <f t="shared" ref="F81:BC84" si="56">F13/F$80</f>
        <v>13.216312726958385</v>
      </c>
      <c r="G81" s="497">
        <f t="shared" si="56"/>
        <v>2.0882443746373607</v>
      </c>
      <c r="H81" s="497">
        <f t="shared" si="56"/>
        <v>6.9349541744982268</v>
      </c>
      <c r="I81" s="497">
        <f t="shared" si="56"/>
        <v>10.158503066531749</v>
      </c>
      <c r="J81" s="497">
        <f t="shared" si="56"/>
        <v>0.14311103045202317</v>
      </c>
      <c r="K81" s="497">
        <f t="shared" si="56"/>
        <v>7.0316409074356834</v>
      </c>
      <c r="L81" s="497">
        <f t="shared" si="56"/>
        <v>0.16585819100168761</v>
      </c>
      <c r="M81" s="497">
        <f t="shared" si="56"/>
        <v>1.9222322578476596</v>
      </c>
      <c r="N81" s="497">
        <f t="shared" si="56"/>
        <v>2.8246445900011752</v>
      </c>
      <c r="O81" s="497">
        <f t="shared" si="56"/>
        <v>6.3090391035825881</v>
      </c>
      <c r="P81" s="497">
        <f t="shared" si="56"/>
        <v>1.1393055285499398</v>
      </c>
      <c r="Q81" s="497">
        <f t="shared" si="56"/>
        <v>0.48030136467131052</v>
      </c>
      <c r="R81" s="497">
        <f t="shared" si="56"/>
        <v>7.9793939042144828</v>
      </c>
      <c r="S81" s="497">
        <f t="shared" si="56"/>
        <v>19.955382132301612</v>
      </c>
      <c r="T81" s="497">
        <f t="shared" si="56"/>
        <v>14.739286878843915</v>
      </c>
      <c r="U81" s="497">
        <f t="shared" si="56"/>
        <v>11.772457636037455</v>
      </c>
      <c r="V81" s="497">
        <f t="shared" si="56"/>
        <v>22.569336949370868</v>
      </c>
      <c r="W81" s="497">
        <f t="shared" si="56"/>
        <v>5.7557123311880876</v>
      </c>
      <c r="X81" s="497">
        <f t="shared" si="56"/>
        <v>0.11010816301530098</v>
      </c>
      <c r="Y81" s="497">
        <f t="shared" si="56"/>
        <v>4.0281022519218874</v>
      </c>
      <c r="Z81" s="497">
        <f t="shared" si="56"/>
        <v>0.63469949395361258</v>
      </c>
      <c r="AA81" s="497">
        <f t="shared" si="56"/>
        <v>6.82383928612159</v>
      </c>
      <c r="AB81" s="497">
        <f t="shared" si="56"/>
        <v>5.7558136685418191</v>
      </c>
      <c r="AC81" s="497">
        <f t="shared" si="56"/>
        <v>3.5210092544157647</v>
      </c>
      <c r="AD81" s="497">
        <f t="shared" si="56"/>
        <v>13.399013883957755</v>
      </c>
      <c r="AE81" s="497">
        <f t="shared" si="56"/>
        <v>16.197243145693903</v>
      </c>
      <c r="AF81" s="497">
        <f t="shared" si="56"/>
        <v>15.10822263380765</v>
      </c>
      <c r="AG81" s="497">
        <f t="shared" si="56"/>
        <v>2.2480106615759103</v>
      </c>
      <c r="AH81" s="497">
        <f t="shared" si="56"/>
        <v>1.8130862933456871</v>
      </c>
      <c r="AI81" s="497">
        <f t="shared" si="56"/>
        <v>0.54750801561964302</v>
      </c>
      <c r="AJ81" s="497">
        <f t="shared" si="56"/>
        <v>13.356887979493179</v>
      </c>
      <c r="AK81" s="497">
        <f t="shared" si="56"/>
        <v>0.62609167443662117</v>
      </c>
      <c r="AL81" s="497">
        <f t="shared" si="56"/>
        <v>6.3134721748218832</v>
      </c>
      <c r="AM81" s="497">
        <f t="shared" si="56"/>
        <v>56.228389681251286</v>
      </c>
      <c r="AN81" s="497">
        <f t="shared" si="56"/>
        <v>10.331060087376258</v>
      </c>
      <c r="AO81" s="497">
        <f t="shared" si="56"/>
        <v>9.7492387663441029</v>
      </c>
      <c r="AP81" s="497">
        <f t="shared" si="56"/>
        <v>0.88491007647298037</v>
      </c>
      <c r="AQ81" s="497">
        <f t="shared" si="56"/>
        <v>9.2824156324358817</v>
      </c>
      <c r="AR81" s="497">
        <f t="shared" si="56"/>
        <v>0</v>
      </c>
      <c r="AS81" s="497">
        <f t="shared" si="56"/>
        <v>7.6417780287729489</v>
      </c>
      <c r="AT81" s="497">
        <f t="shared" si="56"/>
        <v>3.8009887669698506</v>
      </c>
      <c r="AU81" s="497">
        <f t="shared" si="56"/>
        <v>7.3311826127189867</v>
      </c>
      <c r="AV81" s="497">
        <f t="shared" si="56"/>
        <v>6.4498024253003443</v>
      </c>
      <c r="AW81" s="497">
        <f t="shared" si="56"/>
        <v>11.996474093709839</v>
      </c>
      <c r="AX81" s="497">
        <f t="shared" si="56"/>
        <v>0</v>
      </c>
      <c r="AY81" s="497">
        <f t="shared" si="56"/>
        <v>3.4691959633532914</v>
      </c>
      <c r="AZ81" s="497">
        <f t="shared" si="56"/>
        <v>0.81467931627913726</v>
      </c>
      <c r="BA81" s="497">
        <f t="shared" si="56"/>
        <v>43.248448422148158</v>
      </c>
      <c r="BB81" s="497">
        <f t="shared" si="56"/>
        <v>7.6414541805562779</v>
      </c>
      <c r="BC81" s="497">
        <f t="shared" si="56"/>
        <v>80.392571086822031</v>
      </c>
    </row>
    <row r="82" spans="4:55" x14ac:dyDescent="0.2">
      <c r="D82" s="431" t="s">
        <v>1060</v>
      </c>
      <c r="E82" s="497">
        <f t="shared" ref="E82:T84" si="57">E14/E$80</f>
        <v>4.345524207000242</v>
      </c>
      <c r="F82" s="497">
        <f t="shared" si="57"/>
        <v>6.966360788369105</v>
      </c>
      <c r="G82" s="497">
        <f t="shared" si="57"/>
        <v>25.340915982095986</v>
      </c>
      <c r="H82" s="497">
        <f t="shared" si="57"/>
        <v>2.4718773537828294</v>
      </c>
      <c r="I82" s="497">
        <f t="shared" si="57"/>
        <v>5.3457112845038868</v>
      </c>
      <c r="J82" s="497">
        <f t="shared" si="57"/>
        <v>3.1727930307338141</v>
      </c>
      <c r="K82" s="497">
        <f t="shared" si="57"/>
        <v>5.0693668428095133</v>
      </c>
      <c r="L82" s="497">
        <f t="shared" si="57"/>
        <v>3.5769219018617857</v>
      </c>
      <c r="M82" s="497">
        <f t="shared" si="57"/>
        <v>4.8968598300476689</v>
      </c>
      <c r="N82" s="497">
        <f t="shared" si="57"/>
        <v>3.527332292630716</v>
      </c>
      <c r="O82" s="497">
        <f t="shared" si="57"/>
        <v>2.9488593550485809</v>
      </c>
      <c r="P82" s="497">
        <f t="shared" si="57"/>
        <v>7.899272767643668E-3</v>
      </c>
      <c r="Q82" s="497">
        <f t="shared" si="57"/>
        <v>2.883526618670694</v>
      </c>
      <c r="R82" s="497">
        <f t="shared" si="57"/>
        <v>4.1751055270863695</v>
      </c>
      <c r="S82" s="497">
        <f t="shared" si="57"/>
        <v>5.3058244098930798</v>
      </c>
      <c r="T82" s="497">
        <f t="shared" si="57"/>
        <v>4.9313285543636507</v>
      </c>
      <c r="U82" s="497">
        <f t="shared" si="56"/>
        <v>5.39686530670091</v>
      </c>
      <c r="V82" s="497">
        <f t="shared" si="56"/>
        <v>2.8494334528193779</v>
      </c>
      <c r="W82" s="497">
        <f t="shared" si="56"/>
        <v>17.876915302553176</v>
      </c>
      <c r="X82" s="497">
        <f t="shared" si="56"/>
        <v>3.0318154653515426</v>
      </c>
      <c r="Y82" s="497">
        <f t="shared" si="56"/>
        <v>1.8558258899864579</v>
      </c>
      <c r="Z82" s="497">
        <f t="shared" si="56"/>
        <v>3.7995466515271743</v>
      </c>
      <c r="AA82" s="497">
        <f t="shared" si="56"/>
        <v>4.3388130173038819</v>
      </c>
      <c r="AB82" s="497">
        <f t="shared" si="56"/>
        <v>4.3261487472460392</v>
      </c>
      <c r="AC82" s="497">
        <f t="shared" si="56"/>
        <v>8.025387453655922</v>
      </c>
      <c r="AD82" s="497">
        <f t="shared" si="56"/>
        <v>2.4901223071254637</v>
      </c>
      <c r="AE82" s="497">
        <f t="shared" si="56"/>
        <v>4.3373903414666408</v>
      </c>
      <c r="AF82" s="497">
        <f t="shared" si="56"/>
        <v>5.1321815579779768</v>
      </c>
      <c r="AG82" s="497">
        <f t="shared" si="56"/>
        <v>5.1288762217594819</v>
      </c>
      <c r="AH82" s="497">
        <f t="shared" si="56"/>
        <v>2.9739089842442783</v>
      </c>
      <c r="AI82" s="497">
        <f t="shared" si="56"/>
        <v>4.1734650763024694</v>
      </c>
      <c r="AJ82" s="497">
        <f t="shared" si="56"/>
        <v>6.5961233749784718</v>
      </c>
      <c r="AK82" s="497">
        <f t="shared" si="56"/>
        <v>3.4802305172227777</v>
      </c>
      <c r="AL82" s="497">
        <f t="shared" si="56"/>
        <v>1.7551313528909598</v>
      </c>
      <c r="AM82" s="497">
        <f t="shared" si="56"/>
        <v>5.7392941754242477</v>
      </c>
      <c r="AN82" s="497">
        <f t="shared" si="56"/>
        <v>3.9881203580103537</v>
      </c>
      <c r="AO82" s="497">
        <f t="shared" si="56"/>
        <v>9.7364730405006341</v>
      </c>
      <c r="AP82" s="497">
        <f t="shared" si="56"/>
        <v>2.8663276895654315</v>
      </c>
      <c r="AQ82" s="497">
        <f t="shared" si="56"/>
        <v>4.2651524379917429</v>
      </c>
      <c r="AR82" s="497">
        <f t="shared" si="56"/>
        <v>5.3102435558694365</v>
      </c>
      <c r="AS82" s="497">
        <f t="shared" si="56"/>
        <v>2.7428987475788236</v>
      </c>
      <c r="AT82" s="497">
        <f t="shared" si="56"/>
        <v>4.8906440992091964</v>
      </c>
      <c r="AU82" s="497">
        <f t="shared" si="56"/>
        <v>2.1994292037906886</v>
      </c>
      <c r="AV82" s="497">
        <f t="shared" si="56"/>
        <v>7.9780708533898812</v>
      </c>
      <c r="AW82" s="497">
        <f t="shared" si="56"/>
        <v>4.459936199281751</v>
      </c>
      <c r="AX82" s="497">
        <f t="shared" si="56"/>
        <v>0.75575563409682855</v>
      </c>
      <c r="AY82" s="497">
        <f t="shared" si="56"/>
        <v>2.5736677262676597</v>
      </c>
      <c r="AZ82" s="497">
        <f t="shared" si="56"/>
        <v>2.1714145399381262</v>
      </c>
      <c r="BA82" s="497">
        <f t="shared" si="56"/>
        <v>3.6651103135896763</v>
      </c>
      <c r="BB82" s="497">
        <f t="shared" si="56"/>
        <v>3.8055142483742541</v>
      </c>
      <c r="BC82" s="497">
        <f t="shared" si="56"/>
        <v>15.522792489935771</v>
      </c>
    </row>
    <row r="83" spans="4:55" x14ac:dyDescent="0.2">
      <c r="D83" s="431" t="s">
        <v>1061</v>
      </c>
      <c r="E83" s="497">
        <f t="shared" si="57"/>
        <v>8.2799095427624838</v>
      </c>
      <c r="F83" s="497">
        <f t="shared" si="56"/>
        <v>8.3019198724979901</v>
      </c>
      <c r="G83" s="497">
        <f t="shared" si="56"/>
        <v>26.77965839294891</v>
      </c>
      <c r="H83" s="497">
        <f t="shared" si="56"/>
        <v>5.6209890659848796</v>
      </c>
      <c r="I83" s="497">
        <f t="shared" si="56"/>
        <v>8.2908536761744269</v>
      </c>
      <c r="J83" s="497">
        <f t="shared" si="56"/>
        <v>6.5591662897649243</v>
      </c>
      <c r="K83" s="497">
        <f t="shared" si="56"/>
        <v>6.7080897655533231</v>
      </c>
      <c r="L83" s="497">
        <f t="shared" si="56"/>
        <v>6.3859513631881191</v>
      </c>
      <c r="M83" s="497">
        <f t="shared" si="56"/>
        <v>8.1114854793935258</v>
      </c>
      <c r="N83" s="497">
        <f t="shared" si="56"/>
        <v>6.1304727181966161</v>
      </c>
      <c r="O83" s="497">
        <f t="shared" si="56"/>
        <v>7.3710389597226378</v>
      </c>
      <c r="P83" s="497">
        <f t="shared" si="56"/>
        <v>12.965339702625805</v>
      </c>
      <c r="Q83" s="497">
        <f t="shared" si="56"/>
        <v>7.3915430050311155</v>
      </c>
      <c r="R83" s="497">
        <f t="shared" si="56"/>
        <v>6.7796083667056717</v>
      </c>
      <c r="S83" s="497">
        <f t="shared" si="56"/>
        <v>8.5044658257648109</v>
      </c>
      <c r="T83" s="497">
        <f t="shared" si="56"/>
        <v>10.009507430711233</v>
      </c>
      <c r="U83" s="497">
        <f t="shared" si="56"/>
        <v>10.065552019665647</v>
      </c>
      <c r="V83" s="497">
        <f t="shared" si="56"/>
        <v>10.229374687724276</v>
      </c>
      <c r="W83" s="497">
        <f t="shared" si="56"/>
        <v>30.273559597881071</v>
      </c>
      <c r="X83" s="497">
        <f t="shared" si="56"/>
        <v>10.406501732422862</v>
      </c>
      <c r="Y83" s="497">
        <f t="shared" si="56"/>
        <v>5.9468453933267709</v>
      </c>
      <c r="Z83" s="497">
        <f t="shared" si="56"/>
        <v>6.2611783503049709</v>
      </c>
      <c r="AA83" s="497">
        <f t="shared" si="56"/>
        <v>5.8578292686306019</v>
      </c>
      <c r="AB83" s="497">
        <f t="shared" si="56"/>
        <v>8.222057760256158</v>
      </c>
      <c r="AC83" s="497">
        <f t="shared" si="56"/>
        <v>9.9692740122863217</v>
      </c>
      <c r="AD83" s="497">
        <f t="shared" si="56"/>
        <v>7.7538912146213068</v>
      </c>
      <c r="AE83" s="497">
        <f t="shared" si="56"/>
        <v>12.50477819200194</v>
      </c>
      <c r="AF83" s="497">
        <f t="shared" si="56"/>
        <v>9.2499422745210413</v>
      </c>
      <c r="AG83" s="497">
        <f t="shared" si="56"/>
        <v>5.5391062746118784</v>
      </c>
      <c r="AH83" s="497">
        <f t="shared" si="56"/>
        <v>8.1782497066717657</v>
      </c>
      <c r="AI83" s="497">
        <f t="shared" si="56"/>
        <v>8.9950679235335187</v>
      </c>
      <c r="AJ83" s="497">
        <f t="shared" si="56"/>
        <v>8.8018139623240579</v>
      </c>
      <c r="AK83" s="497">
        <f t="shared" si="56"/>
        <v>4.6711955999872004</v>
      </c>
      <c r="AL83" s="497">
        <f t="shared" si="56"/>
        <v>5.8865330893018131</v>
      </c>
      <c r="AM83" s="497">
        <f t="shared" si="56"/>
        <v>19.459545902269472</v>
      </c>
      <c r="AN83" s="497">
        <f t="shared" si="56"/>
        <v>7.2725657427293813</v>
      </c>
      <c r="AO83" s="497">
        <f t="shared" si="56"/>
        <v>10.176141419785564</v>
      </c>
      <c r="AP83" s="497">
        <f t="shared" si="56"/>
        <v>6.3602362085595239</v>
      </c>
      <c r="AQ83" s="497">
        <f t="shared" si="56"/>
        <v>6.9551113859661067</v>
      </c>
      <c r="AR83" s="497">
        <f t="shared" si="56"/>
        <v>5.4777536777944231</v>
      </c>
      <c r="AS83" s="497">
        <f t="shared" si="56"/>
        <v>7.5007507152473973</v>
      </c>
      <c r="AT83" s="497">
        <f t="shared" si="56"/>
        <v>10.257134651314423</v>
      </c>
      <c r="AU83" s="497">
        <f t="shared" si="56"/>
        <v>7.8360689859209369</v>
      </c>
      <c r="AV83" s="497">
        <f t="shared" si="56"/>
        <v>16.540408849227703</v>
      </c>
      <c r="AW83" s="497">
        <f t="shared" si="56"/>
        <v>7.3597328203238614</v>
      </c>
      <c r="AX83" s="497">
        <f t="shared" si="56"/>
        <v>8.9532429909095548</v>
      </c>
      <c r="AY83" s="497">
        <f t="shared" si="56"/>
        <v>6.8013244192772691</v>
      </c>
      <c r="AZ83" s="497">
        <f t="shared" si="56"/>
        <v>7.701794113980883</v>
      </c>
      <c r="BA83" s="497">
        <f t="shared" si="56"/>
        <v>7.3673901473064971</v>
      </c>
      <c r="BB83" s="497">
        <f t="shared" si="56"/>
        <v>6.6145277717233206</v>
      </c>
      <c r="BC83" s="497">
        <f t="shared" si="56"/>
        <v>21.119184508351015</v>
      </c>
    </row>
    <row r="84" spans="4:55" x14ac:dyDescent="0.2">
      <c r="D84" s="431" t="s">
        <v>1062</v>
      </c>
      <c r="E84" s="497">
        <f t="shared" si="57"/>
        <v>0.71050807724841303</v>
      </c>
      <c r="F84" s="497">
        <f t="shared" si="56"/>
        <v>2.9521200261805043</v>
      </c>
      <c r="G84" s="497">
        <f t="shared" si="56"/>
        <v>0.28392603935429506</v>
      </c>
      <c r="H84" s="497">
        <f t="shared" si="56"/>
        <v>9.2572662559810365E-2</v>
      </c>
      <c r="I84" s="497">
        <f t="shared" si="56"/>
        <v>2.8523117504571935</v>
      </c>
      <c r="J84" s="497">
        <f t="shared" si="56"/>
        <v>0.35118083108281184</v>
      </c>
      <c r="K84" s="497">
        <f t="shared" si="56"/>
        <v>0.18862512932426587</v>
      </c>
      <c r="L84" s="497">
        <f t="shared" si="56"/>
        <v>0.55058849116587671</v>
      </c>
      <c r="M84" s="497">
        <f t="shared" si="56"/>
        <v>0.30502981417891795</v>
      </c>
      <c r="N84" s="497">
        <f t="shared" si="56"/>
        <v>0.88597862515397796</v>
      </c>
      <c r="O84" s="497">
        <f t="shared" si="56"/>
        <v>1.5007600996561514</v>
      </c>
      <c r="P84" s="497">
        <f t="shared" si="56"/>
        <v>0.51223492534516002</v>
      </c>
      <c r="Q84" s="497">
        <f t="shared" si="56"/>
        <v>1.5572418485336015</v>
      </c>
      <c r="R84" s="497">
        <f t="shared" si="56"/>
        <v>0.24667647086778968</v>
      </c>
      <c r="S84" s="497">
        <f t="shared" si="56"/>
        <v>0.41687029316183455</v>
      </c>
      <c r="T84" s="497">
        <f t="shared" si="56"/>
        <v>0.76406577811276866</v>
      </c>
      <c r="U84" s="497">
        <f t="shared" si="56"/>
        <v>0.18367230457889636</v>
      </c>
      <c r="V84" s="497">
        <f t="shared" si="56"/>
        <v>0.47269308886501693</v>
      </c>
      <c r="W84" s="497">
        <f t="shared" si="56"/>
        <v>1.9005352202488608</v>
      </c>
      <c r="X84" s="497">
        <f t="shared" si="56"/>
        <v>7.2842439341015419</v>
      </c>
      <c r="Y84" s="497">
        <f t="shared" si="56"/>
        <v>0.4391701824625161</v>
      </c>
      <c r="Z84" s="497">
        <f t="shared" si="56"/>
        <v>0.46389702007506278</v>
      </c>
      <c r="AA84" s="497">
        <f t="shared" si="56"/>
        <v>0.74820597608507045</v>
      </c>
      <c r="AB84" s="497">
        <f t="shared" si="56"/>
        <v>1.1714277716636008</v>
      </c>
      <c r="AC84" s="497">
        <f t="shared" si="56"/>
        <v>1.6296198202449272</v>
      </c>
      <c r="AD84" s="497">
        <f t="shared" si="56"/>
        <v>0.47586185958890892</v>
      </c>
      <c r="AE84" s="497">
        <f t="shared" si="56"/>
        <v>0.44783327949105262</v>
      </c>
      <c r="AF84" s="497">
        <f t="shared" si="56"/>
        <v>0.36863856402823963</v>
      </c>
      <c r="AG84" s="497">
        <f t="shared" si="56"/>
        <v>7.8844215036021681E-2</v>
      </c>
      <c r="AH84" s="497">
        <f t="shared" si="56"/>
        <v>1.7697856278112043</v>
      </c>
      <c r="AI84" s="497">
        <f t="shared" si="56"/>
        <v>0.29736092693790772</v>
      </c>
      <c r="AJ84" s="497">
        <f t="shared" si="56"/>
        <v>0.33960390394597706</v>
      </c>
      <c r="AK84" s="497">
        <f t="shared" si="56"/>
        <v>0.29783430756969065</v>
      </c>
      <c r="AL84" s="497">
        <f t="shared" si="56"/>
        <v>0.97495234301374678</v>
      </c>
      <c r="AM84" s="497">
        <f t="shared" si="56"/>
        <v>0.32624681225720709</v>
      </c>
      <c r="AN84" s="497">
        <f t="shared" si="56"/>
        <v>0.38171144482253583</v>
      </c>
      <c r="AO84" s="497">
        <f t="shared" si="56"/>
        <v>0.62339893865459817</v>
      </c>
      <c r="AP84" s="497">
        <f t="shared" si="56"/>
        <v>1.0603090683749592</v>
      </c>
      <c r="AQ84" s="497">
        <f t="shared" si="56"/>
        <v>0.60651854362439328</v>
      </c>
      <c r="AR84" s="497">
        <f t="shared" si="56"/>
        <v>0.25515072695275098</v>
      </c>
      <c r="AS84" s="497">
        <f t="shared" si="56"/>
        <v>1.7648408427848727</v>
      </c>
      <c r="AT84" s="497">
        <f t="shared" si="56"/>
        <v>0.2061450547673426</v>
      </c>
      <c r="AU84" s="497">
        <f t="shared" si="56"/>
        <v>0.75398066092824645</v>
      </c>
      <c r="AV84" s="497">
        <f t="shared" si="56"/>
        <v>0.28308004959577909</v>
      </c>
      <c r="AW84" s="497">
        <f t="shared" si="56"/>
        <v>8.8902168528614267E-2</v>
      </c>
      <c r="AX84" s="497">
        <f t="shared" si="56"/>
        <v>2.2817449795720344</v>
      </c>
      <c r="AY84" s="497">
        <f t="shared" si="56"/>
        <v>0.96586418505885208</v>
      </c>
      <c r="AZ84" s="497">
        <f t="shared" si="56"/>
        <v>1.2703147331520224</v>
      </c>
      <c r="BA84" s="497">
        <f t="shared" si="56"/>
        <v>0.95865572206869554</v>
      </c>
      <c r="BB84" s="497">
        <f t="shared" si="56"/>
        <v>1.4476031936998968</v>
      </c>
      <c r="BC84" s="497">
        <f t="shared" si="56"/>
        <v>0.18899815330762343</v>
      </c>
    </row>
  </sheetData>
  <phoneticPr fontId="103" type="noConversion"/>
  <pageMargins left="0.75" right="0.75" top="1" bottom="1" header="0.3" footer="0.3"/>
  <pageSetup orientation="portrait" horizontalDpi="0" verticalDpi="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
  <sheetViews>
    <sheetView workbookViewId="0">
      <selection activeCell="C15" sqref="C15"/>
    </sheetView>
  </sheetViews>
  <sheetFormatPr baseColWidth="10" defaultColWidth="8.83203125" defaultRowHeight="16" x14ac:dyDescent="0.2"/>
  <cols>
    <col min="2" max="2" width="45.83203125" customWidth="1"/>
    <col min="3" max="53" width="12" style="38" customWidth="1"/>
  </cols>
  <sheetData>
    <row r="1" spans="1:56" x14ac:dyDescent="0.2">
      <c r="B1">
        <v>2011</v>
      </c>
      <c r="C1" s="6"/>
      <c r="D1" s="3">
        <v>1</v>
      </c>
      <c r="E1" s="3">
        <f>D1+1</f>
        <v>2</v>
      </c>
      <c r="F1" s="3">
        <f t="shared" ref="F1:K1" si="0">E1+1</f>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B1" s="3"/>
      <c r="BC1" s="19"/>
      <c r="BD1" s="20"/>
    </row>
    <row r="2" spans="1:56" x14ac:dyDescent="0.2">
      <c r="C2" s="24" t="s">
        <v>95</v>
      </c>
      <c r="D2" s="25" t="s">
        <v>144</v>
      </c>
      <c r="E2" s="25" t="s">
        <v>145</v>
      </c>
      <c r="F2" s="25" t="s">
        <v>146</v>
      </c>
      <c r="G2" s="25" t="s">
        <v>147</v>
      </c>
      <c r="H2" s="25" t="s">
        <v>148</v>
      </c>
      <c r="I2" s="25" t="s">
        <v>149</v>
      </c>
      <c r="J2" s="25" t="s">
        <v>150</v>
      </c>
      <c r="K2" s="136" t="s">
        <v>177</v>
      </c>
      <c r="L2" s="25" t="s">
        <v>152</v>
      </c>
      <c r="M2" s="25" t="s">
        <v>153</v>
      </c>
      <c r="N2" s="25" t="s">
        <v>154</v>
      </c>
      <c r="O2" s="25" t="s">
        <v>155</v>
      </c>
      <c r="P2" s="25" t="s">
        <v>156</v>
      </c>
      <c r="Q2" s="25" t="s">
        <v>2</v>
      </c>
      <c r="R2" s="25" t="s">
        <v>3</v>
      </c>
      <c r="S2" s="25" t="s">
        <v>4</v>
      </c>
      <c r="T2" s="25" t="s">
        <v>5</v>
      </c>
      <c r="U2" s="25" t="s">
        <v>6</v>
      </c>
      <c r="V2" s="25" t="s">
        <v>7</v>
      </c>
      <c r="W2" s="25" t="s">
        <v>8</v>
      </c>
      <c r="X2" s="25" t="s">
        <v>9</v>
      </c>
      <c r="Y2" s="25" t="s">
        <v>10</v>
      </c>
      <c r="Z2" s="25" t="s">
        <v>11</v>
      </c>
      <c r="AA2" s="25" t="s">
        <v>12</v>
      </c>
      <c r="AB2" s="25" t="s">
        <v>13</v>
      </c>
      <c r="AC2" s="25" t="s">
        <v>14</v>
      </c>
      <c r="AD2" s="25" t="s">
        <v>15</v>
      </c>
      <c r="AE2" s="25" t="s">
        <v>16</v>
      </c>
      <c r="AF2" s="25" t="s">
        <v>17</v>
      </c>
      <c r="AG2" s="25" t="s">
        <v>18</v>
      </c>
      <c r="AH2" s="25" t="s">
        <v>19</v>
      </c>
      <c r="AI2" s="25" t="s">
        <v>20</v>
      </c>
      <c r="AJ2" s="25" t="s">
        <v>21</v>
      </c>
      <c r="AK2" s="25" t="s">
        <v>22</v>
      </c>
      <c r="AL2" s="25" t="s">
        <v>23</v>
      </c>
      <c r="AM2" s="25" t="s">
        <v>24</v>
      </c>
      <c r="AN2" s="25" t="s">
        <v>25</v>
      </c>
      <c r="AO2" s="25" t="s">
        <v>26</v>
      </c>
      <c r="AP2" s="25" t="s">
        <v>27</v>
      </c>
      <c r="AQ2" s="25" t="s">
        <v>28</v>
      </c>
      <c r="AR2" s="25" t="s">
        <v>29</v>
      </c>
      <c r="AS2" s="25" t="s">
        <v>30</v>
      </c>
      <c r="AT2" s="25" t="s">
        <v>31</v>
      </c>
      <c r="AU2" s="25" t="s">
        <v>32</v>
      </c>
      <c r="AV2" s="25" t="s">
        <v>33</v>
      </c>
      <c r="AW2" s="25" t="s">
        <v>34</v>
      </c>
      <c r="AX2" s="25" t="s">
        <v>35</v>
      </c>
      <c r="AY2" s="25" t="s">
        <v>36</v>
      </c>
      <c r="AZ2" s="25" t="s">
        <v>37</v>
      </c>
      <c r="BA2" s="25" t="s">
        <v>38</v>
      </c>
      <c r="BB2" s="26"/>
      <c r="BC2" s="19"/>
      <c r="BD2" s="20"/>
    </row>
    <row r="3" spans="1:56" x14ac:dyDescent="0.2">
      <c r="C3" s="24" t="s">
        <v>96</v>
      </c>
      <c r="D3" s="26" t="s">
        <v>39</v>
      </c>
      <c r="E3" s="26" t="s">
        <v>40</v>
      </c>
      <c r="F3" s="26" t="s">
        <v>41</v>
      </c>
      <c r="G3" s="26" t="s">
        <v>42</v>
      </c>
      <c r="H3" s="26" t="s">
        <v>43</v>
      </c>
      <c r="I3" s="26" t="s">
        <v>44</v>
      </c>
      <c r="J3" s="26" t="s">
        <v>45</v>
      </c>
      <c r="K3" s="26" t="s">
        <v>46</v>
      </c>
      <c r="L3" s="26" t="s">
        <v>47</v>
      </c>
      <c r="M3" s="26" t="s">
        <v>48</v>
      </c>
      <c r="N3" s="26" t="s">
        <v>49</v>
      </c>
      <c r="O3" s="26" t="s">
        <v>50</v>
      </c>
      <c r="P3" s="26" t="s">
        <v>51</v>
      </c>
      <c r="Q3" s="26" t="s">
        <v>52</v>
      </c>
      <c r="R3" s="26" t="s">
        <v>53</v>
      </c>
      <c r="S3" s="26" t="s">
        <v>54</v>
      </c>
      <c r="T3" s="26" t="s">
        <v>55</v>
      </c>
      <c r="U3" s="26" t="s">
        <v>56</v>
      </c>
      <c r="V3" s="26" t="s">
        <v>57</v>
      </c>
      <c r="W3" s="26" t="s">
        <v>58</v>
      </c>
      <c r="X3" s="26" t="s">
        <v>59</v>
      </c>
      <c r="Y3" s="26" t="s">
        <v>60</v>
      </c>
      <c r="Z3" s="26" t="s">
        <v>61</v>
      </c>
      <c r="AA3" s="26" t="s">
        <v>62</v>
      </c>
      <c r="AB3" s="26" t="s">
        <v>63</v>
      </c>
      <c r="AC3" s="26" t="s">
        <v>64</v>
      </c>
      <c r="AD3" s="26" t="s">
        <v>65</v>
      </c>
      <c r="AE3" s="26" t="s">
        <v>66</v>
      </c>
      <c r="AF3" s="26" t="s">
        <v>67</v>
      </c>
      <c r="AG3" s="26" t="s">
        <v>68</v>
      </c>
      <c r="AH3" s="26" t="s">
        <v>69</v>
      </c>
      <c r="AI3" s="26" t="s">
        <v>70</v>
      </c>
      <c r="AJ3" s="26" t="s">
        <v>71</v>
      </c>
      <c r="AK3" s="26" t="s">
        <v>72</v>
      </c>
      <c r="AL3" s="26" t="s">
        <v>73</v>
      </c>
      <c r="AM3" s="26" t="s">
        <v>74</v>
      </c>
      <c r="AN3" s="26" t="s">
        <v>75</v>
      </c>
      <c r="AO3" s="26" t="s">
        <v>76</v>
      </c>
      <c r="AP3" s="26" t="s">
        <v>77</v>
      </c>
      <c r="AQ3" s="26" t="s">
        <v>78</v>
      </c>
      <c r="AR3" s="26" t="s">
        <v>79</v>
      </c>
      <c r="AS3" s="26" t="s">
        <v>80</v>
      </c>
      <c r="AT3" s="26" t="s">
        <v>81</v>
      </c>
      <c r="AU3" s="26" t="s">
        <v>82</v>
      </c>
      <c r="AV3" s="26" t="s">
        <v>83</v>
      </c>
      <c r="AW3" s="26" t="s">
        <v>84</v>
      </c>
      <c r="AX3" s="26" t="s">
        <v>85</v>
      </c>
      <c r="AY3" s="26" t="s">
        <v>86</v>
      </c>
      <c r="AZ3" s="26" t="s">
        <v>87</v>
      </c>
      <c r="BA3" s="26" t="s">
        <v>88</v>
      </c>
    </row>
    <row r="4" spans="1:56" x14ac:dyDescent="0.2">
      <c r="A4">
        <v>1</v>
      </c>
      <c r="B4" s="243" t="s">
        <v>785</v>
      </c>
      <c r="C4" s="310">
        <f>C5*C7</f>
        <v>627.38520000000005</v>
      </c>
      <c r="D4" s="310">
        <f>$C5*D7</f>
        <v>9.6915298987194856</v>
      </c>
      <c r="E4" s="310">
        <f>$C5*E7</f>
        <v>1.460400711304809</v>
      </c>
      <c r="F4" s="310">
        <f t="shared" ref="F4:BA4" si="43">$C5*F7</f>
        <v>13.047925601956539</v>
      </c>
      <c r="G4" s="310">
        <f t="shared" si="43"/>
        <v>5.9286426146319844</v>
      </c>
      <c r="H4" s="310">
        <f t="shared" si="43"/>
        <v>76.028020001053747</v>
      </c>
      <c r="I4" s="310">
        <f t="shared" si="43"/>
        <v>10.322232310184591</v>
      </c>
      <c r="J4" s="310">
        <f t="shared" si="43"/>
        <v>7.2362667615962355</v>
      </c>
      <c r="K4" s="310">
        <f t="shared" si="43"/>
        <v>1.8321829093501718</v>
      </c>
      <c r="L4" s="310">
        <f t="shared" si="43"/>
        <v>38.498810540856972</v>
      </c>
      <c r="M4" s="310">
        <f t="shared" si="43"/>
        <v>19.796816461263209</v>
      </c>
      <c r="N4" s="310">
        <f t="shared" si="43"/>
        <v>2.7804003147981446</v>
      </c>
      <c r="O4" s="310">
        <f t="shared" si="43"/>
        <v>3.1952323158134495</v>
      </c>
      <c r="P4" s="310">
        <f t="shared" si="43"/>
        <v>25.944783477472772</v>
      </c>
      <c r="Q4" s="310">
        <f t="shared" si="43"/>
        <v>13.146860658571031</v>
      </c>
      <c r="R4" s="310">
        <f t="shared" si="43"/>
        <v>6.1818714092599834</v>
      </c>
      <c r="S4" s="310">
        <f t="shared" si="43"/>
        <v>5.79105594468456</v>
      </c>
      <c r="T4" s="310">
        <f t="shared" si="43"/>
        <v>8.8101266429085712</v>
      </c>
      <c r="U4" s="310">
        <f t="shared" si="43"/>
        <v>9.229673583915476</v>
      </c>
      <c r="V4" s="310">
        <f t="shared" si="43"/>
        <v>2.680361675738038</v>
      </c>
      <c r="W4" s="310">
        <f t="shared" si="43"/>
        <v>11.781442685761951</v>
      </c>
      <c r="X4" s="310">
        <f t="shared" si="43"/>
        <v>13.329748681779636</v>
      </c>
      <c r="Y4" s="310">
        <f t="shared" si="43"/>
        <v>19.926625598618585</v>
      </c>
      <c r="Z4" s="310">
        <f t="shared" si="43"/>
        <v>10.788272957698304</v>
      </c>
      <c r="AA4" s="310">
        <f t="shared" si="43"/>
        <v>6.0070736339616539</v>
      </c>
      <c r="AB4" s="310">
        <f t="shared" si="43"/>
        <v>12.123234476030193</v>
      </c>
      <c r="AC4" s="310">
        <f t="shared" si="43"/>
        <v>2.0128113121948092</v>
      </c>
      <c r="AD4" s="310">
        <f t="shared" si="43"/>
        <v>3.7167405907080151</v>
      </c>
      <c r="AE4" s="310">
        <f t="shared" si="43"/>
        <v>5.4877059458583108</v>
      </c>
      <c r="AF4" s="310">
        <f t="shared" si="43"/>
        <v>2.6586995830166833</v>
      </c>
      <c r="AG4" s="310">
        <f t="shared" si="43"/>
        <v>17.82431516234703</v>
      </c>
      <c r="AH4" s="310">
        <f t="shared" si="43"/>
        <v>4.1937625896869735</v>
      </c>
      <c r="AI4" s="310">
        <f t="shared" si="43"/>
        <v>39.344864860599067</v>
      </c>
      <c r="AJ4" s="310">
        <f t="shared" si="43"/>
        <v>19.471275779951892</v>
      </c>
      <c r="AK4" s="310">
        <f t="shared" si="43"/>
        <v>1.3814754000205218</v>
      </c>
      <c r="AL4" s="310">
        <f t="shared" si="43"/>
        <v>23.284191462401264</v>
      </c>
      <c r="AM4" s="310">
        <f t="shared" si="43"/>
        <v>7.6346176565818524</v>
      </c>
      <c r="AN4" s="310">
        <f t="shared" si="43"/>
        <v>7.8042223400794217</v>
      </c>
      <c r="AO4" s="310">
        <f t="shared" si="43"/>
        <v>25.71114680191128</v>
      </c>
      <c r="AP4" s="310">
        <f t="shared" si="43"/>
        <v>2.1196974079650102</v>
      </c>
      <c r="AQ4" s="310">
        <f t="shared" si="43"/>
        <v>9.4285645613446061</v>
      </c>
      <c r="AR4" s="310">
        <f t="shared" si="43"/>
        <v>1.6616138521615529</v>
      </c>
      <c r="AS4" s="310">
        <f t="shared" si="43"/>
        <v>12.911686634154767</v>
      </c>
      <c r="AT4" s="310">
        <f t="shared" si="43"/>
        <v>51.712578154901436</v>
      </c>
      <c r="AU4" s="310">
        <f t="shared" si="43"/>
        <v>5.6779962432770912</v>
      </c>
      <c r="AV4" s="310">
        <f t="shared" si="43"/>
        <v>1.2641607527669754</v>
      </c>
      <c r="AW4" s="310">
        <f t="shared" si="43"/>
        <v>16.350742074831203</v>
      </c>
      <c r="AX4" s="310">
        <f t="shared" si="43"/>
        <v>13.766065233916267</v>
      </c>
      <c r="AY4" s="310">
        <f t="shared" si="43"/>
        <v>3.7423106161481234</v>
      </c>
      <c r="AZ4" s="310">
        <f t="shared" si="43"/>
        <v>11.519712069514526</v>
      </c>
      <c r="BA4" s="310">
        <f t="shared" si="43"/>
        <v>1.1446510457312895</v>
      </c>
    </row>
    <row r="5" spans="1:56" x14ac:dyDescent="0.2">
      <c r="A5">
        <f>A4+1</f>
        <v>2</v>
      </c>
      <c r="B5" s="227" t="s">
        <v>784</v>
      </c>
      <c r="C5" s="311">
        <f>478.92*1.31*OzoneSesitivityFactor</f>
        <v>627.38520000000005</v>
      </c>
    </row>
    <row r="6" spans="1:56" x14ac:dyDescent="0.2">
      <c r="A6">
        <f>A5+1</f>
        <v>3</v>
      </c>
      <c r="B6" t="s">
        <v>89</v>
      </c>
      <c r="C6" s="312">
        <f>'GPI Summary'!C32</f>
        <v>310968796</v>
      </c>
      <c r="D6" s="312">
        <f>'GPI Summary'!D32</f>
        <v>4803689</v>
      </c>
      <c r="E6" s="312">
        <f>'GPI Summary'!E32</f>
        <v>723860</v>
      </c>
      <c r="F6" s="312">
        <f>'GPI Summary'!F32</f>
        <v>6467315</v>
      </c>
      <c r="G6" s="312">
        <f>'GPI Summary'!G32</f>
        <v>2938582</v>
      </c>
      <c r="H6" s="312">
        <f>'GPI Summary'!H32</f>
        <v>37683933</v>
      </c>
      <c r="I6" s="312">
        <f>'GPI Summary'!I32</f>
        <v>5116302</v>
      </c>
      <c r="J6" s="312">
        <f>'GPI Summary'!J32</f>
        <v>3586717</v>
      </c>
      <c r="K6" s="312">
        <f>'GPI Summary'!K32</f>
        <v>908137</v>
      </c>
      <c r="L6" s="312">
        <f>'GPI Summary'!L32</f>
        <v>19082262</v>
      </c>
      <c r="M6" s="312">
        <f>'GPI Summary'!M32</f>
        <v>9812460</v>
      </c>
      <c r="N6" s="312">
        <f>'GPI Summary'!N32</f>
        <v>1378129</v>
      </c>
      <c r="O6" s="312">
        <f>'GPI Summary'!O32</f>
        <v>1583744</v>
      </c>
      <c r="P6" s="312">
        <f>'GPI Summary'!P32</f>
        <v>12859752</v>
      </c>
      <c r="Q6" s="312">
        <f>'GPI Summary'!Q32</f>
        <v>6516353</v>
      </c>
      <c r="R6" s="312">
        <f>'GPI Summary'!R32</f>
        <v>3064097</v>
      </c>
      <c r="S6" s="312">
        <f>'GPI Summary'!S32</f>
        <v>2870386</v>
      </c>
      <c r="T6" s="312">
        <f>'GPI Summary'!T32</f>
        <v>4366814</v>
      </c>
      <c r="U6" s="312">
        <f>'GPI Summary'!U32</f>
        <v>4574766</v>
      </c>
      <c r="V6" s="312">
        <f>'GPI Summary'!V32</f>
        <v>1328544</v>
      </c>
      <c r="W6" s="312">
        <f>'GPI Summary'!W32</f>
        <v>5839572</v>
      </c>
      <c r="X6" s="312">
        <f>'GPI Summary'!X32</f>
        <v>6607003</v>
      </c>
      <c r="Y6" s="312">
        <f>'GPI Summary'!Y32</f>
        <v>9876801</v>
      </c>
      <c r="Z6" s="312">
        <f>'GPI Summary'!Z32</f>
        <v>5347299</v>
      </c>
      <c r="AA6" s="312">
        <f>'GPI Summary'!AA32</f>
        <v>2977457</v>
      </c>
      <c r="AB6" s="312">
        <f>'GPI Summary'!AB32</f>
        <v>6008984</v>
      </c>
      <c r="AC6" s="312">
        <f>'GPI Summary'!AC32</f>
        <v>997667</v>
      </c>
      <c r="AD6" s="312">
        <f>'GPI Summary'!AD32</f>
        <v>1842234</v>
      </c>
      <c r="AE6" s="312">
        <f>'GPI Summary'!AE32</f>
        <v>2720028</v>
      </c>
      <c r="AF6" s="312">
        <f>'GPI Summary'!AF32</f>
        <v>1317807</v>
      </c>
      <c r="AG6" s="312">
        <f>'GPI Summary'!AG32</f>
        <v>8834773</v>
      </c>
      <c r="AH6" s="312">
        <f>'GPI Summary'!AH32</f>
        <v>2078674</v>
      </c>
      <c r="AI6" s="312">
        <f>'GPI Summary'!AI32</f>
        <v>19501616</v>
      </c>
      <c r="AJ6" s="312">
        <f>'GPI Summary'!AJ32</f>
        <v>9651103</v>
      </c>
      <c r="AK6" s="312">
        <f>'GPI Summary'!AK32</f>
        <v>684740</v>
      </c>
      <c r="AL6" s="312">
        <f>'GPI Summary'!AL32</f>
        <v>11541007</v>
      </c>
      <c r="AM6" s="312">
        <f>'GPI Summary'!AM32</f>
        <v>3784163</v>
      </c>
      <c r="AN6" s="312">
        <f>'GPI Summary'!AN32</f>
        <v>3868229</v>
      </c>
      <c r="AO6" s="312">
        <f>'GPI Summary'!AO32</f>
        <v>12743948</v>
      </c>
      <c r="AP6" s="312">
        <f>'GPI Summary'!AP32</f>
        <v>1050646</v>
      </c>
      <c r="AQ6" s="312">
        <f>'GPI Summary'!AQ32</f>
        <v>4673348</v>
      </c>
      <c r="AR6" s="312">
        <f>'GPI Summary'!AR32</f>
        <v>823593</v>
      </c>
      <c r="AS6" s="312">
        <f>'GPI Summary'!AS32</f>
        <v>6399787</v>
      </c>
      <c r="AT6" s="312">
        <f>'GPI Summary'!AT32</f>
        <v>25631778</v>
      </c>
      <c r="AU6" s="312">
        <f>'GPI Summary'!AU32</f>
        <v>2814347</v>
      </c>
      <c r="AV6" s="312">
        <f>'GPI Summary'!AV32</f>
        <v>626592</v>
      </c>
      <c r="AW6" s="312">
        <f>'GPI Summary'!AW32</f>
        <v>8104384</v>
      </c>
      <c r="AX6" s="312">
        <f>'GPI Summary'!AX32</f>
        <v>6823267</v>
      </c>
      <c r="AY6" s="312">
        <f>'GPI Summary'!AY32</f>
        <v>1854908</v>
      </c>
      <c r="AZ6" s="312">
        <f>'GPI Summary'!AZ32</f>
        <v>5709843</v>
      </c>
      <c r="BA6" s="312">
        <f>'GPI Summary'!BA32</f>
        <v>567356</v>
      </c>
    </row>
    <row r="7" spans="1:56" x14ac:dyDescent="0.2">
      <c r="A7">
        <f>A6+1</f>
        <v>4</v>
      </c>
      <c r="B7" t="s">
        <v>1010</v>
      </c>
      <c r="C7" s="313">
        <v>1</v>
      </c>
      <c r="D7" s="313">
        <f>D6/$C6</f>
        <v>1.5447495252867751E-2</v>
      </c>
      <c r="E7" s="313">
        <f t="shared" ref="E7:BA7" si="44">E6/$C6</f>
        <v>2.3277576699367612E-3</v>
      </c>
      <c r="F7" s="313">
        <f t="shared" si="44"/>
        <v>2.079731176629053E-2</v>
      </c>
      <c r="G7" s="313">
        <f t="shared" si="44"/>
        <v>9.4497648567928982E-3</v>
      </c>
      <c r="H7" s="313">
        <f t="shared" si="44"/>
        <v>0.1211823613324856</v>
      </c>
      <c r="I7" s="313">
        <f t="shared" si="44"/>
        <v>1.6452782612953874E-2</v>
      </c>
      <c r="J7" s="313">
        <f t="shared" si="44"/>
        <v>1.153400934799902E-2</v>
      </c>
      <c r="K7" s="313">
        <f t="shared" si="44"/>
        <v>2.9203476737260804E-3</v>
      </c>
      <c r="L7" s="313">
        <f t="shared" si="44"/>
        <v>6.1363912538671565E-2</v>
      </c>
      <c r="M7" s="313">
        <f t="shared" si="44"/>
        <v>3.1554484328389011E-2</v>
      </c>
      <c r="N7" s="313">
        <f t="shared" si="44"/>
        <v>4.4317276129531655E-3</v>
      </c>
      <c r="O7" s="313">
        <f t="shared" si="44"/>
        <v>5.0929354339462407E-3</v>
      </c>
      <c r="P7" s="313">
        <f t="shared" si="44"/>
        <v>4.1353834099804664E-2</v>
      </c>
      <c r="Q7" s="313">
        <f t="shared" si="44"/>
        <v>2.0955006045043825E-2</v>
      </c>
      <c r="R7" s="313">
        <f t="shared" si="44"/>
        <v>9.8533905633412817E-3</v>
      </c>
      <c r="S7" s="313">
        <f t="shared" si="44"/>
        <v>9.2304631105173656E-3</v>
      </c>
      <c r="T7" s="313">
        <f t="shared" si="44"/>
        <v>1.4042611529421749E-2</v>
      </c>
      <c r="U7" s="313">
        <f t="shared" si="44"/>
        <v>1.4711334573903679E-2</v>
      </c>
      <c r="V7" s="313">
        <f t="shared" si="44"/>
        <v>4.2722743152660246E-3</v>
      </c>
      <c r="W7" s="313">
        <f t="shared" si="44"/>
        <v>1.8778642986417196E-2</v>
      </c>
      <c r="X7" s="313">
        <f t="shared" si="44"/>
        <v>2.1246514393038974E-2</v>
      </c>
      <c r="Y7" s="313">
        <f t="shared" si="44"/>
        <v>3.1761389332452511E-2</v>
      </c>
      <c r="Z7" s="313">
        <f t="shared" si="44"/>
        <v>1.719561277138559E-2</v>
      </c>
      <c r="AA7" s="313">
        <f t="shared" si="44"/>
        <v>9.5747773998520417E-3</v>
      </c>
      <c r="AB7" s="313">
        <f t="shared" si="44"/>
        <v>1.9323430766346086E-2</v>
      </c>
      <c r="AC7" s="313">
        <f t="shared" si="44"/>
        <v>3.2082543741784302E-3</v>
      </c>
      <c r="AD7" s="313">
        <f t="shared" si="44"/>
        <v>5.9241763922834242E-3</v>
      </c>
      <c r="AE7" s="313">
        <f t="shared" si="44"/>
        <v>8.7469483594103115E-3</v>
      </c>
      <c r="AF7" s="313">
        <f t="shared" si="44"/>
        <v>4.2377467352061908E-3</v>
      </c>
      <c r="AG7" s="313">
        <f t="shared" si="44"/>
        <v>2.8410480773768697E-2</v>
      </c>
      <c r="AH7" s="313">
        <f t="shared" si="44"/>
        <v>6.6845099146217871E-3</v>
      </c>
      <c r="AI7" s="313">
        <f t="shared" si="44"/>
        <v>6.2712452988369929E-2</v>
      </c>
      <c r="AJ7" s="313">
        <f t="shared" si="44"/>
        <v>3.1035599468957651E-2</v>
      </c>
      <c r="AK7" s="313">
        <f t="shared" si="44"/>
        <v>2.2019572664776308E-3</v>
      </c>
      <c r="AL7" s="313">
        <f t="shared" si="44"/>
        <v>3.7113070984781379E-2</v>
      </c>
      <c r="AM7" s="313">
        <f t="shared" si="44"/>
        <v>1.2168947652226817E-2</v>
      </c>
      <c r="AN7" s="313">
        <f t="shared" si="44"/>
        <v>1.2439283457881093E-2</v>
      </c>
      <c r="AO7" s="313">
        <f t="shared" si="44"/>
        <v>4.0981436606906375E-2</v>
      </c>
      <c r="AP7" s="313">
        <f t="shared" si="44"/>
        <v>3.3786219502229412E-3</v>
      </c>
      <c r="AQ7" s="313">
        <f t="shared" si="44"/>
        <v>1.5028350304317994E-2</v>
      </c>
      <c r="AR7" s="313">
        <f t="shared" si="44"/>
        <v>2.6484747363526469E-3</v>
      </c>
      <c r="AS7" s="313">
        <f t="shared" si="44"/>
        <v>2.0580158145513738E-2</v>
      </c>
      <c r="AT7" s="313">
        <f t="shared" si="44"/>
        <v>8.2425562724306262E-2</v>
      </c>
      <c r="AU7" s="313">
        <f t="shared" si="44"/>
        <v>9.0502553188648548E-3</v>
      </c>
      <c r="AV7" s="313">
        <f t="shared" si="44"/>
        <v>2.0149674438717639E-3</v>
      </c>
      <c r="AW7" s="313">
        <f t="shared" si="44"/>
        <v>2.606172742811147E-2</v>
      </c>
      <c r="AX7" s="313">
        <f t="shared" si="44"/>
        <v>2.1941966807499231E-2</v>
      </c>
      <c r="AY7" s="313">
        <f t="shared" si="44"/>
        <v>5.9649328931382552E-3</v>
      </c>
      <c r="AZ7" s="313">
        <f t="shared" si="44"/>
        <v>1.8361466080989038E-2</v>
      </c>
      <c r="BA7" s="313">
        <f t="shared" si="44"/>
        <v>1.8244788779386084E-3</v>
      </c>
    </row>
    <row r="9" spans="1:56" x14ac:dyDescent="0.2">
      <c r="A9">
        <v>1</v>
      </c>
      <c r="B9" t="s">
        <v>783</v>
      </c>
    </row>
    <row r="10" spans="1:56" x14ac:dyDescent="0.2">
      <c r="A10">
        <v>2</v>
      </c>
      <c r="B10" t="s">
        <v>737</v>
      </c>
    </row>
    <row r="11" spans="1:56" x14ac:dyDescent="0.2">
      <c r="A11">
        <v>3</v>
      </c>
      <c r="B11" t="s">
        <v>675</v>
      </c>
    </row>
    <row r="12" spans="1:56" x14ac:dyDescent="0.2">
      <c r="A12">
        <v>4</v>
      </c>
      <c r="B12" t="s">
        <v>738</v>
      </c>
    </row>
    <row r="14" spans="1:56" x14ac:dyDescent="0.2">
      <c r="B14" s="412" t="s">
        <v>988</v>
      </c>
      <c r="C14" s="434">
        <v>1</v>
      </c>
    </row>
    <row r="16" spans="1:56" x14ac:dyDescent="0.2">
      <c r="B16" s="126"/>
    </row>
  </sheetData>
  <phoneticPr fontId="103" type="noConversion"/>
  <pageMargins left="0.75" right="0.75" top="1" bottom="1"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54"/>
  <sheetViews>
    <sheetView workbookViewId="0">
      <selection activeCell="D5" sqref="D5"/>
    </sheetView>
  </sheetViews>
  <sheetFormatPr baseColWidth="10" defaultRowHeight="16" x14ac:dyDescent="0.2"/>
  <cols>
    <col min="4" max="4" width="11.1640625" bestFit="1" customWidth="1"/>
  </cols>
  <sheetData>
    <row r="3" spans="1:4" x14ac:dyDescent="0.2">
      <c r="B3" t="s">
        <v>101</v>
      </c>
      <c r="C3" t="s">
        <v>1000</v>
      </c>
    </row>
    <row r="4" spans="1:4" x14ac:dyDescent="0.2">
      <c r="B4" t="s">
        <v>102</v>
      </c>
      <c r="C4" t="s">
        <v>102</v>
      </c>
      <c r="D4" t="s">
        <v>1063</v>
      </c>
    </row>
    <row r="5" spans="1:4" x14ac:dyDescent="0.2">
      <c r="A5" t="s">
        <v>39</v>
      </c>
      <c r="B5">
        <v>45</v>
      </c>
      <c r="C5" s="266">
        <v>46</v>
      </c>
      <c r="D5">
        <f>CORREL(B5:B54,C5:C54)</f>
        <v>0.51471788715486189</v>
      </c>
    </row>
    <row r="6" spans="1:4" x14ac:dyDescent="0.2">
      <c r="A6" t="s">
        <v>40</v>
      </c>
      <c r="B6">
        <v>1</v>
      </c>
      <c r="C6" s="266">
        <v>1</v>
      </c>
    </row>
    <row r="7" spans="1:4" x14ac:dyDescent="0.2">
      <c r="A7" t="s">
        <v>41</v>
      </c>
      <c r="B7">
        <v>38</v>
      </c>
      <c r="C7" s="266">
        <v>24</v>
      </c>
    </row>
    <row r="8" spans="1:4" x14ac:dyDescent="0.2">
      <c r="A8" t="s">
        <v>42</v>
      </c>
      <c r="B8">
        <v>48</v>
      </c>
      <c r="C8" s="266">
        <v>44</v>
      </c>
    </row>
    <row r="9" spans="1:4" x14ac:dyDescent="0.2">
      <c r="A9" t="s">
        <v>43</v>
      </c>
      <c r="B9">
        <v>16</v>
      </c>
      <c r="C9" s="266">
        <v>14</v>
      </c>
    </row>
    <row r="10" spans="1:4" x14ac:dyDescent="0.2">
      <c r="A10" t="s">
        <v>44</v>
      </c>
      <c r="B10">
        <v>15</v>
      </c>
      <c r="C10" s="266">
        <v>19</v>
      </c>
    </row>
    <row r="11" spans="1:4" x14ac:dyDescent="0.2">
      <c r="A11" t="s">
        <v>45</v>
      </c>
      <c r="B11">
        <v>5</v>
      </c>
      <c r="C11" s="266">
        <v>3</v>
      </c>
    </row>
    <row r="12" spans="1:4" x14ac:dyDescent="0.2">
      <c r="A12" t="s">
        <v>46</v>
      </c>
      <c r="B12">
        <v>2</v>
      </c>
      <c r="C12" s="266">
        <v>17</v>
      </c>
    </row>
    <row r="13" spans="1:4" x14ac:dyDescent="0.2">
      <c r="A13" t="s">
        <v>47</v>
      </c>
      <c r="B13">
        <v>40</v>
      </c>
      <c r="C13" s="266">
        <v>21</v>
      </c>
    </row>
    <row r="14" spans="1:4" x14ac:dyDescent="0.2">
      <c r="A14" t="s">
        <v>48</v>
      </c>
      <c r="B14">
        <v>33</v>
      </c>
      <c r="C14" s="266">
        <v>34</v>
      </c>
    </row>
    <row r="15" spans="1:4" x14ac:dyDescent="0.2">
      <c r="A15" t="s">
        <v>49</v>
      </c>
      <c r="B15">
        <v>19</v>
      </c>
      <c r="C15" s="266">
        <v>4</v>
      </c>
    </row>
    <row r="16" spans="1:4" x14ac:dyDescent="0.2">
      <c r="A16" t="s">
        <v>50</v>
      </c>
      <c r="B16">
        <v>47</v>
      </c>
      <c r="C16" s="266">
        <v>22</v>
      </c>
    </row>
    <row r="17" spans="1:3" x14ac:dyDescent="0.2">
      <c r="A17" t="s">
        <v>51</v>
      </c>
      <c r="B17">
        <v>17</v>
      </c>
      <c r="C17" s="266">
        <v>23</v>
      </c>
    </row>
    <row r="18" spans="1:3" x14ac:dyDescent="0.2">
      <c r="A18" t="s">
        <v>52</v>
      </c>
      <c r="B18">
        <v>31</v>
      </c>
      <c r="C18" s="266">
        <v>39</v>
      </c>
    </row>
    <row r="19" spans="1:3" x14ac:dyDescent="0.2">
      <c r="A19" t="s">
        <v>53</v>
      </c>
      <c r="B19">
        <v>23</v>
      </c>
      <c r="C19" s="266">
        <v>37</v>
      </c>
    </row>
    <row r="20" spans="1:3" x14ac:dyDescent="0.2">
      <c r="A20" t="s">
        <v>54</v>
      </c>
      <c r="B20">
        <v>26</v>
      </c>
      <c r="C20" s="266">
        <v>35</v>
      </c>
    </row>
    <row r="21" spans="1:3" x14ac:dyDescent="0.2">
      <c r="A21" t="s">
        <v>55</v>
      </c>
      <c r="B21">
        <v>43</v>
      </c>
      <c r="C21" s="266">
        <v>43</v>
      </c>
    </row>
    <row r="22" spans="1:3" x14ac:dyDescent="0.2">
      <c r="A22" t="s">
        <v>56</v>
      </c>
      <c r="B22">
        <v>21</v>
      </c>
      <c r="C22" s="266">
        <v>49</v>
      </c>
    </row>
    <row r="23" spans="1:3" x14ac:dyDescent="0.2">
      <c r="A23" t="s">
        <v>57</v>
      </c>
      <c r="B23">
        <v>41</v>
      </c>
      <c r="C23" s="266">
        <v>20</v>
      </c>
    </row>
    <row r="24" spans="1:3" x14ac:dyDescent="0.2">
      <c r="A24" t="s">
        <v>58</v>
      </c>
      <c r="B24">
        <v>14</v>
      </c>
      <c r="C24" s="266">
        <v>7</v>
      </c>
    </row>
    <row r="25" spans="1:3" x14ac:dyDescent="0.2">
      <c r="A25" t="s">
        <v>59</v>
      </c>
      <c r="B25">
        <v>6</v>
      </c>
      <c r="C25" s="266">
        <v>2</v>
      </c>
    </row>
    <row r="26" spans="1:3" x14ac:dyDescent="0.2">
      <c r="A26" t="s">
        <v>60</v>
      </c>
      <c r="B26">
        <v>39</v>
      </c>
      <c r="C26" s="266">
        <v>27</v>
      </c>
    </row>
    <row r="27" spans="1:3" x14ac:dyDescent="0.2">
      <c r="A27" t="s">
        <v>61</v>
      </c>
      <c r="B27">
        <v>12</v>
      </c>
      <c r="C27" s="266">
        <v>18</v>
      </c>
    </row>
    <row r="28" spans="1:3" x14ac:dyDescent="0.2">
      <c r="A28" t="s">
        <v>62</v>
      </c>
      <c r="B28">
        <v>50</v>
      </c>
      <c r="C28" s="266">
        <v>45</v>
      </c>
    </row>
    <row r="29" spans="1:3" x14ac:dyDescent="0.2">
      <c r="A29" t="s">
        <v>63</v>
      </c>
      <c r="B29">
        <v>36</v>
      </c>
      <c r="C29" s="266">
        <v>33</v>
      </c>
    </row>
    <row r="30" spans="1:3" x14ac:dyDescent="0.2">
      <c r="A30" t="s">
        <v>64</v>
      </c>
      <c r="B30">
        <v>44</v>
      </c>
      <c r="C30" s="266">
        <v>30</v>
      </c>
    </row>
    <row r="31" spans="1:3" x14ac:dyDescent="0.2">
      <c r="A31" t="s">
        <v>65</v>
      </c>
      <c r="B31">
        <v>18</v>
      </c>
      <c r="C31" s="266">
        <v>31</v>
      </c>
    </row>
    <row r="32" spans="1:3" x14ac:dyDescent="0.2">
      <c r="A32" t="s">
        <v>66</v>
      </c>
      <c r="B32">
        <v>25</v>
      </c>
      <c r="C32" s="266">
        <v>13</v>
      </c>
    </row>
    <row r="33" spans="1:3" x14ac:dyDescent="0.2">
      <c r="A33" t="s">
        <v>67</v>
      </c>
      <c r="B33">
        <v>22</v>
      </c>
      <c r="C33" s="266">
        <v>8</v>
      </c>
    </row>
    <row r="34" spans="1:3" x14ac:dyDescent="0.2">
      <c r="A34" t="s">
        <v>68</v>
      </c>
      <c r="B34">
        <v>8</v>
      </c>
      <c r="C34" s="266">
        <v>10</v>
      </c>
    </row>
    <row r="35" spans="1:3" x14ac:dyDescent="0.2">
      <c r="A35" t="s">
        <v>69</v>
      </c>
      <c r="B35">
        <v>42</v>
      </c>
      <c r="C35" s="266">
        <v>38</v>
      </c>
    </row>
    <row r="36" spans="1:3" x14ac:dyDescent="0.2">
      <c r="A36" t="s">
        <v>70</v>
      </c>
      <c r="B36">
        <v>7</v>
      </c>
      <c r="C36" s="266">
        <v>6</v>
      </c>
    </row>
    <row r="37" spans="1:3" x14ac:dyDescent="0.2">
      <c r="A37" t="s">
        <v>71</v>
      </c>
      <c r="B37">
        <v>27</v>
      </c>
      <c r="C37" s="266">
        <v>32</v>
      </c>
    </row>
    <row r="38" spans="1:3" x14ac:dyDescent="0.2">
      <c r="A38" t="s">
        <v>72</v>
      </c>
      <c r="B38">
        <v>3</v>
      </c>
      <c r="C38" s="266">
        <v>48</v>
      </c>
    </row>
    <row r="39" spans="1:3" x14ac:dyDescent="0.2">
      <c r="A39" t="s">
        <v>73</v>
      </c>
      <c r="B39">
        <v>34</v>
      </c>
      <c r="C39" s="266">
        <v>29</v>
      </c>
    </row>
    <row r="40" spans="1:3" x14ac:dyDescent="0.2">
      <c r="A40" t="s">
        <v>74</v>
      </c>
      <c r="B40">
        <v>37</v>
      </c>
      <c r="C40" s="266">
        <v>42</v>
      </c>
    </row>
    <row r="41" spans="1:3" x14ac:dyDescent="0.2">
      <c r="A41" t="s">
        <v>75</v>
      </c>
      <c r="B41">
        <v>9</v>
      </c>
      <c r="C41" s="266">
        <v>12</v>
      </c>
    </row>
    <row r="42" spans="1:3" x14ac:dyDescent="0.2">
      <c r="A42" t="s">
        <v>76</v>
      </c>
      <c r="B42">
        <v>28</v>
      </c>
      <c r="C42" s="266">
        <v>28</v>
      </c>
    </row>
    <row r="43" spans="1:3" x14ac:dyDescent="0.2">
      <c r="A43" t="s">
        <v>77</v>
      </c>
      <c r="B43">
        <v>24</v>
      </c>
      <c r="C43" s="266">
        <v>9</v>
      </c>
    </row>
    <row r="44" spans="1:3" x14ac:dyDescent="0.2">
      <c r="A44" t="s">
        <v>78</v>
      </c>
      <c r="B44">
        <v>46</v>
      </c>
      <c r="C44" s="266">
        <v>40</v>
      </c>
    </row>
    <row r="45" spans="1:3" x14ac:dyDescent="0.2">
      <c r="A45" t="s">
        <v>79</v>
      </c>
      <c r="B45">
        <v>20</v>
      </c>
      <c r="C45" s="266">
        <v>15</v>
      </c>
    </row>
    <row r="46" spans="1:3" x14ac:dyDescent="0.2">
      <c r="A46" t="s">
        <v>80</v>
      </c>
      <c r="B46">
        <v>35</v>
      </c>
      <c r="C46" s="266">
        <v>36</v>
      </c>
    </row>
    <row r="47" spans="1:3" x14ac:dyDescent="0.2">
      <c r="A47" t="s">
        <v>81</v>
      </c>
      <c r="B47">
        <v>13</v>
      </c>
      <c r="C47" s="266">
        <v>41</v>
      </c>
    </row>
    <row r="48" spans="1:3" x14ac:dyDescent="0.2">
      <c r="A48" t="s">
        <v>82</v>
      </c>
      <c r="B48">
        <v>29</v>
      </c>
      <c r="C48" s="266">
        <v>26</v>
      </c>
    </row>
    <row r="49" spans="1:3" x14ac:dyDescent="0.2">
      <c r="A49" t="s">
        <v>83</v>
      </c>
      <c r="B49">
        <v>32</v>
      </c>
      <c r="C49" s="266">
        <v>11</v>
      </c>
    </row>
    <row r="50" spans="1:3" x14ac:dyDescent="0.2">
      <c r="A50" t="s">
        <v>84</v>
      </c>
      <c r="B50">
        <v>11</v>
      </c>
      <c r="C50" s="266">
        <v>16</v>
      </c>
    </row>
    <row r="51" spans="1:3" x14ac:dyDescent="0.2">
      <c r="A51" t="s">
        <v>85</v>
      </c>
      <c r="B51">
        <v>10</v>
      </c>
      <c r="C51" s="266">
        <v>5</v>
      </c>
    </row>
    <row r="52" spans="1:3" x14ac:dyDescent="0.2">
      <c r="A52" t="s">
        <v>86</v>
      </c>
      <c r="B52">
        <v>49</v>
      </c>
      <c r="C52" s="266">
        <v>47</v>
      </c>
    </row>
    <row r="53" spans="1:3" x14ac:dyDescent="0.2">
      <c r="A53" t="s">
        <v>87</v>
      </c>
      <c r="B53">
        <v>30</v>
      </c>
      <c r="C53" s="266">
        <v>25</v>
      </c>
    </row>
    <row r="54" spans="1:3" x14ac:dyDescent="0.2">
      <c r="A54" t="s">
        <v>88</v>
      </c>
      <c r="B54">
        <v>4</v>
      </c>
      <c r="C54" s="266">
        <v>50</v>
      </c>
    </row>
  </sheetData>
  <phoneticPr fontId="108" type="noConversion"/>
  <pageMargins left="0.7" right="0.7" top="0.75" bottom="0.75" header="0.3" footer="0.3"/>
  <pageSetup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2"/>
  <sheetViews>
    <sheetView topLeftCell="A13" workbookViewId="0">
      <selection activeCell="C27" sqref="C27"/>
    </sheetView>
  </sheetViews>
  <sheetFormatPr baseColWidth="10" defaultColWidth="8.83203125" defaultRowHeight="16" x14ac:dyDescent="0.2"/>
  <cols>
    <col min="2" max="2" width="78" customWidth="1"/>
    <col min="3" max="3" width="21.1640625" customWidth="1"/>
    <col min="4" max="4" width="15.6640625" customWidth="1"/>
    <col min="5" max="5" width="17.33203125" customWidth="1"/>
    <col min="6" max="53" width="15.6640625" customWidth="1"/>
  </cols>
  <sheetData>
    <row r="1" spans="1:54" x14ac:dyDescent="0.2">
      <c r="D1" s="3">
        <v>1</v>
      </c>
      <c r="E1" s="3">
        <f>D1+1</f>
        <v>2</v>
      </c>
      <c r="F1" s="3">
        <f t="shared" ref="F1:K1" si="0">E1+1</f>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B1" s="2"/>
    </row>
    <row r="2" spans="1:54" x14ac:dyDescent="0.2">
      <c r="C2" s="133"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c r="BB2" s="3"/>
    </row>
    <row r="3" spans="1:54" x14ac:dyDescent="0.2">
      <c r="C3" s="133"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c r="BB3" s="2"/>
    </row>
    <row r="4" spans="1:54" x14ac:dyDescent="0.2">
      <c r="A4" s="72">
        <v>1</v>
      </c>
      <c r="B4" s="314" t="s">
        <v>786</v>
      </c>
      <c r="C4" s="316">
        <f>SUM(D4:BA4)</f>
        <v>2541.2295088628371</v>
      </c>
      <c r="D4" s="244">
        <f t="shared" ref="D4:AH4" si="43">(D19+D27)/1000000000</f>
        <v>66.641517960140689</v>
      </c>
      <c r="E4" s="244">
        <f t="shared" si="43"/>
        <v>16.554199179366943</v>
      </c>
      <c r="F4" s="244">
        <f t="shared" si="43"/>
        <v>47.373525041031655</v>
      </c>
      <c r="G4" s="244">
        <f t="shared" si="43"/>
        <v>31.686995146541616</v>
      </c>
      <c r="H4" s="244">
        <f t="shared" si="43"/>
        <v>171.39805983587337</v>
      </c>
      <c r="I4" s="244">
        <f t="shared" si="43"/>
        <v>37.255463657678789</v>
      </c>
      <c r="J4" s="244">
        <f t="shared" si="43"/>
        <v>21.354086049237988</v>
      </c>
      <c r="K4" s="244">
        <f t="shared" si="43"/>
        <v>5.6745015240328254</v>
      </c>
      <c r="L4" s="244">
        <f t="shared" si="43"/>
        <v>108.03297491207503</v>
      </c>
      <c r="M4" s="244">
        <f t="shared" si="43"/>
        <v>72.523247924970704</v>
      </c>
      <c r="N4" s="244">
        <f t="shared" si="43"/>
        <v>7.5263915592028141</v>
      </c>
      <c r="O4" s="244">
        <f t="shared" si="43"/>
        <v>6.7534789683470109</v>
      </c>
      <c r="P4" s="244">
        <f t="shared" si="43"/>
        <v>123.42086961313012</v>
      </c>
      <c r="Q4" s="244">
        <f t="shared" si="43"/>
        <v>78.864946025791326</v>
      </c>
      <c r="R4" s="244">
        <f t="shared" si="43"/>
        <v>34.657408956623684</v>
      </c>
      <c r="S4" s="244">
        <f t="shared" si="43"/>
        <v>31.730469378663539</v>
      </c>
      <c r="T4" s="244">
        <f t="shared" si="43"/>
        <v>54.635333692848768</v>
      </c>
      <c r="U4" s="244">
        <f t="shared" si="43"/>
        <v>105.8170498007034</v>
      </c>
      <c r="V4" s="244">
        <f t="shared" si="43"/>
        <v>8.4000006096131301</v>
      </c>
      <c r="W4" s="244">
        <f t="shared" si="43"/>
        <v>30.648568933177025</v>
      </c>
      <c r="X4" s="244">
        <f t="shared" si="43"/>
        <v>32.409346096131308</v>
      </c>
      <c r="Y4" s="244">
        <f t="shared" si="43"/>
        <v>75.632979390386865</v>
      </c>
      <c r="Z4" s="244">
        <f t="shared" si="43"/>
        <v>42.7055807971864</v>
      </c>
      <c r="AA4" s="244">
        <f t="shared" si="43"/>
        <v>30.636480820633061</v>
      </c>
      <c r="AB4" s="244">
        <f t="shared" si="43"/>
        <v>53.972819390386874</v>
      </c>
      <c r="AC4" s="244">
        <f t="shared" si="43"/>
        <v>11.955643610785462</v>
      </c>
      <c r="AD4" s="244">
        <f t="shared" si="43"/>
        <v>22.176697467760846</v>
      </c>
      <c r="AE4" s="244">
        <f t="shared" si="43"/>
        <v>15.858330246189919</v>
      </c>
      <c r="AF4" s="244">
        <f t="shared" si="43"/>
        <v>10.296747643610786</v>
      </c>
      <c r="AG4" s="244">
        <f t="shared" si="43"/>
        <v>60.973958358733888</v>
      </c>
      <c r="AH4" s="244">
        <f t="shared" si="43"/>
        <v>22.845292215709268</v>
      </c>
      <c r="AI4" s="244">
        <f t="shared" ref="AI4:BA4" si="44">(AI19+AI27)/1000000000</f>
        <v>88.668056717467778</v>
      </c>
      <c r="AJ4" s="244">
        <f t="shared" si="44"/>
        <v>63.390631910902698</v>
      </c>
      <c r="AK4" s="244">
        <f t="shared" si="44"/>
        <v>18.9995143024619</v>
      </c>
      <c r="AL4" s="244">
        <f t="shared" si="44"/>
        <v>96.962836740914412</v>
      </c>
      <c r="AM4" s="244">
        <f t="shared" si="44"/>
        <v>45.414831535756157</v>
      </c>
      <c r="AN4" s="244">
        <f t="shared" si="44"/>
        <v>15.900479085580306</v>
      </c>
      <c r="AO4" s="244">
        <f t="shared" si="44"/>
        <v>124.74292762016412</v>
      </c>
      <c r="AP4" s="244">
        <f t="shared" si="44"/>
        <v>5.2774056740914421</v>
      </c>
      <c r="AQ4" s="244">
        <f t="shared" si="44"/>
        <v>49.254375732708084</v>
      </c>
      <c r="AR4" s="244">
        <f t="shared" si="44"/>
        <v>6.0149020867526382</v>
      </c>
      <c r="AS4" s="244">
        <f t="shared" si="44"/>
        <v>49.242877561547481</v>
      </c>
      <c r="AT4" s="244">
        <f t="shared" si="44"/>
        <v>328.58173927315363</v>
      </c>
      <c r="AU4" s="244">
        <f t="shared" si="44"/>
        <v>24.995172262602576</v>
      </c>
      <c r="AV4" s="244">
        <f t="shared" si="44"/>
        <v>4.3628486283704575</v>
      </c>
      <c r="AW4" s="244">
        <f t="shared" si="44"/>
        <v>48.841319179366941</v>
      </c>
      <c r="AX4" s="244">
        <f t="shared" si="44"/>
        <v>29.347912497069167</v>
      </c>
      <c r="AY4" s="244">
        <f t="shared" si="44"/>
        <v>34.377719038686983</v>
      </c>
      <c r="AZ4" s="244">
        <f t="shared" si="44"/>
        <v>42.991817889800707</v>
      </c>
      <c r="BA4" s="244">
        <f t="shared" si="44"/>
        <v>23.44917631887456</v>
      </c>
    </row>
    <row r="5" spans="1:54" x14ac:dyDescent="0.2">
      <c r="A5" s="72">
        <v>2</v>
      </c>
      <c r="B5" s="317" t="s">
        <v>787</v>
      </c>
      <c r="C5" s="83"/>
      <c r="D5" s="441">
        <v>651000</v>
      </c>
      <c r="E5" s="441">
        <v>15500</v>
      </c>
      <c r="F5" s="441">
        <v>459900</v>
      </c>
      <c r="G5" s="441">
        <v>306100</v>
      </c>
      <c r="H5" s="441">
        <v>55300</v>
      </c>
      <c r="I5" s="441">
        <v>368900</v>
      </c>
      <c r="J5" s="441">
        <v>6100</v>
      </c>
      <c r="K5" s="441">
        <v>17900</v>
      </c>
      <c r="L5" s="441">
        <v>552700</v>
      </c>
      <c r="M5" s="441">
        <v>634800</v>
      </c>
      <c r="N5" s="441">
        <v>16100</v>
      </c>
      <c r="O5" s="441">
        <v>7800</v>
      </c>
      <c r="P5" s="441">
        <v>1052200</v>
      </c>
      <c r="Q5" s="441">
        <v>1333400</v>
      </c>
      <c r="R5" s="441">
        <v>463100</v>
      </c>
      <c r="S5" s="441">
        <v>346500</v>
      </c>
      <c r="T5" s="441">
        <v>1010600</v>
      </c>
      <c r="U5" s="441">
        <v>270000</v>
      </c>
      <c r="V5" s="441">
        <v>1500</v>
      </c>
      <c r="W5" s="441">
        <v>241200</v>
      </c>
      <c r="X5" s="441">
        <v>43000</v>
      </c>
      <c r="Y5" s="441">
        <v>691100</v>
      </c>
      <c r="Z5" s="441">
        <v>315600</v>
      </c>
      <c r="AA5" s="441">
        <v>107500</v>
      </c>
      <c r="AB5" s="441">
        <v>825600</v>
      </c>
      <c r="AC5" s="441">
        <v>165700</v>
      </c>
      <c r="AD5" s="441">
        <v>285400</v>
      </c>
      <c r="AE5" s="441">
        <v>62700</v>
      </c>
      <c r="AF5" s="441">
        <v>24500</v>
      </c>
      <c r="AG5" s="441">
        <v>49600</v>
      </c>
      <c r="AH5" s="441">
        <v>284700</v>
      </c>
      <c r="AI5" s="441">
        <v>125200</v>
      </c>
      <c r="AJ5" s="441">
        <v>624800</v>
      </c>
      <c r="AK5" s="441">
        <v>394800</v>
      </c>
      <c r="AL5" s="441">
        <v>1222600</v>
      </c>
      <c r="AM5" s="441">
        <v>378300</v>
      </c>
      <c r="AN5" s="441">
        <v>35100</v>
      </c>
      <c r="AO5" s="441">
        <v>1213000</v>
      </c>
      <c r="AP5" s="441">
        <v>0</v>
      </c>
      <c r="AQ5" s="441">
        <v>366200</v>
      </c>
      <c r="AR5" s="441">
        <v>32100</v>
      </c>
      <c r="AS5" s="441">
        <v>481100</v>
      </c>
      <c r="AT5" s="441">
        <v>1695200</v>
      </c>
      <c r="AU5" s="441">
        <v>346200</v>
      </c>
      <c r="AV5" s="441">
        <v>0</v>
      </c>
      <c r="AW5" s="441">
        <v>288300</v>
      </c>
      <c r="AX5" s="441">
        <v>57000</v>
      </c>
      <c r="AY5" s="441">
        <v>822600</v>
      </c>
      <c r="AZ5" s="441">
        <v>447400</v>
      </c>
      <c r="BA5" s="441">
        <v>467700</v>
      </c>
    </row>
    <row r="6" spans="1:54" x14ac:dyDescent="0.2">
      <c r="A6" s="72">
        <v>3</v>
      </c>
      <c r="B6" s="317" t="s">
        <v>788</v>
      </c>
      <c r="C6" s="83"/>
      <c r="D6" s="441">
        <v>614800</v>
      </c>
      <c r="E6" s="441">
        <v>337000</v>
      </c>
      <c r="F6" s="441">
        <v>293700</v>
      </c>
      <c r="G6" s="441">
        <v>288600</v>
      </c>
      <c r="H6" s="441">
        <v>2196600</v>
      </c>
      <c r="I6" s="441">
        <v>476500</v>
      </c>
      <c r="J6" s="441">
        <v>235700</v>
      </c>
      <c r="K6" s="441">
        <v>81700</v>
      </c>
      <c r="L6" s="441">
        <v>1236600</v>
      </c>
      <c r="M6" s="441">
        <v>531600</v>
      </c>
      <c r="N6" s="441">
        <v>200</v>
      </c>
      <c r="O6" s="441">
        <v>83900</v>
      </c>
      <c r="P6" s="441">
        <v>986400</v>
      </c>
      <c r="Q6" s="441">
        <v>635200</v>
      </c>
      <c r="R6" s="441">
        <v>277600</v>
      </c>
      <c r="S6" s="441">
        <v>284600</v>
      </c>
      <c r="T6" s="441">
        <v>228600</v>
      </c>
      <c r="U6" s="441">
        <v>1502500</v>
      </c>
      <c r="V6" s="441">
        <v>74000</v>
      </c>
      <c r="W6" s="441">
        <v>199100</v>
      </c>
      <c r="X6" s="441">
        <v>461200</v>
      </c>
      <c r="Y6" s="441">
        <v>787300</v>
      </c>
      <c r="Z6" s="441">
        <v>425000</v>
      </c>
      <c r="AA6" s="441">
        <v>439000</v>
      </c>
      <c r="AB6" s="441">
        <v>274900</v>
      </c>
      <c r="AC6" s="441">
        <v>79500</v>
      </c>
      <c r="AD6" s="441">
        <v>173700</v>
      </c>
      <c r="AE6" s="441">
        <v>256300</v>
      </c>
      <c r="AF6" s="441">
        <v>72000</v>
      </c>
      <c r="AG6" s="441">
        <v>677400</v>
      </c>
      <c r="AH6" s="441">
        <v>251900</v>
      </c>
      <c r="AI6" s="441">
        <v>1246900</v>
      </c>
      <c r="AJ6" s="441">
        <v>311200</v>
      </c>
      <c r="AK6" s="441">
        <v>72200</v>
      </c>
      <c r="AL6" s="441">
        <v>845600</v>
      </c>
      <c r="AM6" s="441">
        <v>676900</v>
      </c>
      <c r="AN6" s="441">
        <v>203700</v>
      </c>
      <c r="AO6" s="441">
        <v>998600</v>
      </c>
      <c r="AP6" s="441">
        <v>102500</v>
      </c>
      <c r="AQ6" s="441">
        <v>235500</v>
      </c>
      <c r="AR6" s="441">
        <v>74000</v>
      </c>
      <c r="AS6" s="441">
        <v>258600</v>
      </c>
      <c r="AT6" s="441">
        <v>3756900</v>
      </c>
      <c r="AU6" s="441">
        <v>230600</v>
      </c>
      <c r="AV6" s="441">
        <v>8700</v>
      </c>
      <c r="AW6" s="441">
        <v>383200</v>
      </c>
      <c r="AX6" s="441">
        <v>272200</v>
      </c>
      <c r="AY6" s="441">
        <v>124900</v>
      </c>
      <c r="AZ6" s="441">
        <v>399200</v>
      </c>
      <c r="BA6" s="441">
        <v>161800</v>
      </c>
    </row>
    <row r="7" spans="1:54" x14ac:dyDescent="0.2">
      <c r="A7" s="72">
        <v>4</v>
      </c>
      <c r="B7" s="317" t="s">
        <v>789</v>
      </c>
      <c r="C7" s="83"/>
      <c r="D7" s="441">
        <v>549500</v>
      </c>
      <c r="E7" s="441">
        <v>267100</v>
      </c>
      <c r="F7" s="441">
        <v>500900</v>
      </c>
      <c r="G7" s="441">
        <v>335700</v>
      </c>
      <c r="H7" s="441">
        <v>3405800</v>
      </c>
      <c r="I7" s="441">
        <v>472900</v>
      </c>
      <c r="J7" s="441">
        <v>315600</v>
      </c>
      <c r="K7" s="441">
        <v>101500</v>
      </c>
      <c r="L7" s="441">
        <v>1611900</v>
      </c>
      <c r="M7" s="441">
        <v>996600</v>
      </c>
      <c r="N7" s="441">
        <v>246200</v>
      </c>
      <c r="O7" s="441">
        <v>161300</v>
      </c>
      <c r="P7" s="441">
        <v>1201300</v>
      </c>
      <c r="Q7" s="441">
        <v>763600</v>
      </c>
      <c r="R7" s="441">
        <v>422600</v>
      </c>
      <c r="S7" s="441">
        <v>398100</v>
      </c>
      <c r="T7" s="441">
        <v>615500</v>
      </c>
      <c r="U7" s="441">
        <v>1908300</v>
      </c>
      <c r="V7" s="441">
        <v>190500</v>
      </c>
      <c r="W7" s="441">
        <v>478500</v>
      </c>
      <c r="X7" s="441">
        <v>570000</v>
      </c>
      <c r="Y7" s="441">
        <v>797200</v>
      </c>
      <c r="Z7" s="441">
        <v>605800</v>
      </c>
      <c r="AA7" s="441">
        <v>409000</v>
      </c>
      <c r="AB7" s="441">
        <v>642000</v>
      </c>
      <c r="AC7" s="441">
        <v>171900</v>
      </c>
      <c r="AD7" s="441">
        <v>234800</v>
      </c>
      <c r="AE7" s="441">
        <v>207600</v>
      </c>
      <c r="AF7" s="441">
        <v>148500</v>
      </c>
      <c r="AG7" s="441">
        <v>1095000</v>
      </c>
      <c r="AH7" s="441">
        <v>252100</v>
      </c>
      <c r="AI7" s="441">
        <v>1255200</v>
      </c>
      <c r="AJ7" s="441">
        <v>782800</v>
      </c>
      <c r="AK7" s="441">
        <v>183600</v>
      </c>
      <c r="AL7" s="441">
        <v>1156500</v>
      </c>
      <c r="AM7" s="441">
        <v>530600</v>
      </c>
      <c r="AN7" s="441">
        <v>339000</v>
      </c>
      <c r="AO7" s="441">
        <v>1221300</v>
      </c>
      <c r="AP7" s="441">
        <v>79300</v>
      </c>
      <c r="AQ7" s="441">
        <v>483000</v>
      </c>
      <c r="AR7" s="441">
        <v>116400</v>
      </c>
      <c r="AS7" s="441">
        <v>691000</v>
      </c>
      <c r="AT7" s="441">
        <v>5841700</v>
      </c>
      <c r="AU7" s="441">
        <v>285400</v>
      </c>
      <c r="AV7" s="441">
        <v>77300</v>
      </c>
      <c r="AW7" s="441">
        <v>759500</v>
      </c>
      <c r="AX7" s="441">
        <v>724100</v>
      </c>
      <c r="AY7" s="441">
        <v>188300</v>
      </c>
      <c r="AZ7" s="441">
        <v>520400</v>
      </c>
      <c r="BA7" s="441">
        <v>165100</v>
      </c>
    </row>
    <row r="8" spans="1:54" x14ac:dyDescent="0.2">
      <c r="A8" s="72">
        <v>5</v>
      </c>
      <c r="B8" s="317" t="s">
        <v>790</v>
      </c>
      <c r="C8" s="83"/>
      <c r="D8" s="441">
        <v>586100</v>
      </c>
      <c r="E8" s="441">
        <v>6000</v>
      </c>
      <c r="F8" s="441">
        <v>449900</v>
      </c>
      <c r="G8" s="441">
        <v>300500</v>
      </c>
      <c r="H8" s="441">
        <v>19700</v>
      </c>
      <c r="I8" s="441">
        <v>362400</v>
      </c>
      <c r="J8" s="441">
        <v>6100</v>
      </c>
      <c r="K8" s="441">
        <v>17900</v>
      </c>
      <c r="L8" s="441">
        <v>540100</v>
      </c>
      <c r="M8" s="441">
        <v>605300</v>
      </c>
      <c r="N8" s="441">
        <v>14800</v>
      </c>
      <c r="O8" s="441">
        <v>0</v>
      </c>
      <c r="P8" s="441">
        <v>938300</v>
      </c>
      <c r="Q8" s="441">
        <v>1092100</v>
      </c>
      <c r="R8" s="441">
        <v>387100</v>
      </c>
      <c r="S8" s="441">
        <v>344000</v>
      </c>
      <c r="T8" s="441">
        <v>961600</v>
      </c>
      <c r="U8" s="441">
        <v>268700</v>
      </c>
      <c r="V8" s="441">
        <v>1000</v>
      </c>
      <c r="W8" s="441">
        <v>218900</v>
      </c>
      <c r="X8" s="441">
        <v>41300</v>
      </c>
      <c r="Y8" s="441">
        <v>620400</v>
      </c>
      <c r="Z8" s="441">
        <v>290200</v>
      </c>
      <c r="AA8" s="441">
        <v>104900</v>
      </c>
      <c r="AB8" s="441">
        <v>810400</v>
      </c>
      <c r="AC8" s="441">
        <v>164200</v>
      </c>
      <c r="AD8" s="441">
        <v>266300</v>
      </c>
      <c r="AE8" s="441">
        <v>60200</v>
      </c>
      <c r="AF8" s="441">
        <v>24500</v>
      </c>
      <c r="AG8" s="441">
        <v>49600</v>
      </c>
      <c r="AH8" s="441">
        <v>284200</v>
      </c>
      <c r="AI8" s="441">
        <v>99200</v>
      </c>
      <c r="AJ8" s="441">
        <v>600700</v>
      </c>
      <c r="AK8" s="441">
        <v>300500</v>
      </c>
      <c r="AL8" s="441">
        <v>1102700</v>
      </c>
      <c r="AM8" s="441">
        <v>366500</v>
      </c>
      <c r="AN8" s="441">
        <v>33300</v>
      </c>
      <c r="AO8" s="441">
        <v>1028400</v>
      </c>
      <c r="AP8" s="441">
        <v>0</v>
      </c>
      <c r="AQ8" s="441">
        <v>342900</v>
      </c>
      <c r="AR8" s="441">
        <v>29000</v>
      </c>
      <c r="AS8" s="441">
        <v>412400</v>
      </c>
      <c r="AT8" s="441">
        <v>1675500</v>
      </c>
      <c r="AU8" s="441">
        <v>332400</v>
      </c>
      <c r="AV8" s="441">
        <v>0</v>
      </c>
      <c r="AW8" s="441">
        <v>215600</v>
      </c>
      <c r="AX8" s="441">
        <v>55100</v>
      </c>
      <c r="AY8" s="441">
        <v>759300</v>
      </c>
      <c r="AZ8" s="441">
        <v>410500</v>
      </c>
      <c r="BA8" s="441">
        <v>434600</v>
      </c>
    </row>
    <row r="9" spans="1:54" x14ac:dyDescent="0.2">
      <c r="A9" s="72">
        <v>6</v>
      </c>
      <c r="B9" s="317" t="s">
        <v>863</v>
      </c>
      <c r="C9" s="83"/>
      <c r="D9" s="441">
        <v>349400</v>
      </c>
      <c r="E9" s="441">
        <v>42300</v>
      </c>
      <c r="F9" s="441">
        <v>183900</v>
      </c>
      <c r="G9" s="441">
        <v>109200</v>
      </c>
      <c r="H9" s="441">
        <v>630100</v>
      </c>
      <c r="I9" s="441">
        <v>88100</v>
      </c>
      <c r="J9" s="441">
        <v>110500</v>
      </c>
      <c r="K9" s="441">
        <v>39800</v>
      </c>
      <c r="L9" s="441">
        <v>1059400</v>
      </c>
      <c r="M9" s="441">
        <v>199900</v>
      </c>
      <c r="N9" s="441">
        <v>0</v>
      </c>
      <c r="O9" s="441">
        <v>8400</v>
      </c>
      <c r="P9" s="441">
        <v>48400</v>
      </c>
      <c r="Q9" s="441">
        <v>86200</v>
      </c>
      <c r="R9" s="441">
        <v>10000</v>
      </c>
      <c r="S9" s="441">
        <v>31000</v>
      </c>
      <c r="T9" s="441">
        <v>15900</v>
      </c>
      <c r="U9" s="441">
        <v>299600</v>
      </c>
      <c r="V9" s="441">
        <v>35300</v>
      </c>
      <c r="W9" s="441">
        <v>21600</v>
      </c>
      <c r="X9" s="441">
        <v>193200</v>
      </c>
      <c r="Y9" s="441">
        <v>114500</v>
      </c>
      <c r="Z9" s="441">
        <v>28500</v>
      </c>
      <c r="AA9" s="441">
        <v>245300</v>
      </c>
      <c r="AB9" s="441">
        <v>38400</v>
      </c>
      <c r="AC9" s="441">
        <v>4800</v>
      </c>
      <c r="AD9" s="441">
        <v>4300</v>
      </c>
      <c r="AE9" s="441">
        <v>166700</v>
      </c>
      <c r="AF9" s="441">
        <v>48800</v>
      </c>
      <c r="AG9" s="441">
        <v>204800</v>
      </c>
      <c r="AH9" s="441">
        <v>75000</v>
      </c>
      <c r="AI9" s="441">
        <v>443600</v>
      </c>
      <c r="AJ9" s="441">
        <v>90200</v>
      </c>
      <c r="AK9" s="441">
        <v>100</v>
      </c>
      <c r="AL9" s="441">
        <v>95500</v>
      </c>
      <c r="AM9" s="441">
        <v>273600</v>
      </c>
      <c r="AN9" s="441">
        <v>61300</v>
      </c>
      <c r="AO9" s="441">
        <v>315000</v>
      </c>
      <c r="AP9" s="441">
        <v>65300</v>
      </c>
      <c r="AQ9" s="441">
        <v>103300</v>
      </c>
      <c r="AR9" s="441">
        <v>1600</v>
      </c>
      <c r="AS9" s="441">
        <v>26500</v>
      </c>
      <c r="AT9" s="441">
        <v>1484000</v>
      </c>
      <c r="AU9" s="441">
        <v>41400</v>
      </c>
      <c r="AV9" s="441">
        <v>100</v>
      </c>
      <c r="AW9" s="441">
        <v>146300</v>
      </c>
      <c r="AX9" s="441">
        <v>40400</v>
      </c>
      <c r="AY9" s="441">
        <v>2700</v>
      </c>
      <c r="AZ9" s="441">
        <v>48300</v>
      </c>
      <c r="BA9" s="441">
        <v>400</v>
      </c>
    </row>
    <row r="10" spans="1:54" x14ac:dyDescent="0.2">
      <c r="A10" s="72">
        <v>7</v>
      </c>
      <c r="B10" s="317" t="s">
        <v>864</v>
      </c>
      <c r="C10" s="83"/>
      <c r="D10" s="441">
        <v>1100</v>
      </c>
      <c r="E10" s="441">
        <v>4800</v>
      </c>
      <c r="F10" s="441">
        <v>600</v>
      </c>
      <c r="G10" s="441">
        <v>600</v>
      </c>
      <c r="H10" s="441">
        <v>11500</v>
      </c>
      <c r="I10" s="441">
        <v>300</v>
      </c>
      <c r="J10" s="441">
        <v>1800</v>
      </c>
      <c r="K10" s="441">
        <v>400</v>
      </c>
      <c r="L10" s="441">
        <v>35700</v>
      </c>
      <c r="M10" s="441">
        <v>1000</v>
      </c>
      <c r="N10" s="441">
        <v>77700</v>
      </c>
      <c r="O10" s="441">
        <v>0</v>
      </c>
      <c r="P10" s="441">
        <v>900</v>
      </c>
      <c r="Q10" s="441">
        <v>10300</v>
      </c>
      <c r="R10" s="441">
        <v>1800</v>
      </c>
      <c r="S10" s="441">
        <v>900</v>
      </c>
      <c r="T10" s="441">
        <v>19800</v>
      </c>
      <c r="U10" s="441">
        <v>50700</v>
      </c>
      <c r="V10" s="441">
        <v>1500</v>
      </c>
      <c r="W10" s="441">
        <v>2800</v>
      </c>
      <c r="X10" s="441">
        <v>2000</v>
      </c>
      <c r="Y10" s="441">
        <v>31000</v>
      </c>
      <c r="Z10" s="441">
        <v>3000</v>
      </c>
      <c r="AA10" s="441">
        <v>400</v>
      </c>
      <c r="AB10" s="441">
        <v>800</v>
      </c>
      <c r="AC10" s="441">
        <v>8100</v>
      </c>
      <c r="AD10" s="441">
        <v>400</v>
      </c>
      <c r="AE10" s="441">
        <v>200</v>
      </c>
      <c r="AF10" s="441">
        <v>800</v>
      </c>
      <c r="AG10" s="441">
        <v>800</v>
      </c>
      <c r="AH10" s="441">
        <v>400</v>
      </c>
      <c r="AI10" s="441">
        <v>11200</v>
      </c>
      <c r="AJ10" s="441">
        <v>2200</v>
      </c>
      <c r="AK10" s="441">
        <v>500</v>
      </c>
      <c r="AL10" s="441">
        <v>15600</v>
      </c>
      <c r="AM10" s="441">
        <v>200</v>
      </c>
      <c r="AN10" s="441">
        <v>100</v>
      </c>
      <c r="AO10" s="441">
        <v>5400</v>
      </c>
      <c r="AP10" s="441">
        <v>100</v>
      </c>
      <c r="AQ10" s="441">
        <v>1000</v>
      </c>
      <c r="AR10" s="441">
        <v>100</v>
      </c>
      <c r="AS10" s="441">
        <v>2200</v>
      </c>
      <c r="AT10" s="441">
        <v>8300</v>
      </c>
      <c r="AU10" s="441">
        <v>500</v>
      </c>
      <c r="AV10" s="441">
        <v>100</v>
      </c>
      <c r="AW10" s="441">
        <v>5000</v>
      </c>
      <c r="AX10" s="441">
        <v>200</v>
      </c>
      <c r="AY10" s="441">
        <v>1900</v>
      </c>
      <c r="AZ10" s="441">
        <v>5100</v>
      </c>
      <c r="BA10" s="441">
        <v>600</v>
      </c>
    </row>
    <row r="11" spans="1:54" x14ac:dyDescent="0.2">
      <c r="A11" s="72">
        <v>8</v>
      </c>
      <c r="B11" s="317" t="s">
        <v>865</v>
      </c>
      <c r="C11" s="83"/>
      <c r="D11" s="441">
        <v>64900</v>
      </c>
      <c r="E11" s="441">
        <v>9500</v>
      </c>
      <c r="F11" s="441">
        <v>10000</v>
      </c>
      <c r="G11" s="441">
        <v>5600</v>
      </c>
      <c r="H11" s="441">
        <v>35600</v>
      </c>
      <c r="I11" s="441">
        <v>6500</v>
      </c>
      <c r="J11" s="441">
        <v>0</v>
      </c>
      <c r="K11" s="441">
        <v>0</v>
      </c>
      <c r="L11" s="441">
        <v>12600</v>
      </c>
      <c r="M11" s="441">
        <v>29500</v>
      </c>
      <c r="N11" s="441">
        <v>1300</v>
      </c>
      <c r="O11" s="441">
        <v>7800</v>
      </c>
      <c r="P11" s="441">
        <v>113900</v>
      </c>
      <c r="Q11" s="441">
        <v>241300</v>
      </c>
      <c r="R11" s="441">
        <v>76000</v>
      </c>
      <c r="S11" s="441">
        <v>2500</v>
      </c>
      <c r="T11" s="441">
        <v>49000</v>
      </c>
      <c r="U11" s="441">
        <v>1300</v>
      </c>
      <c r="V11" s="441">
        <v>500</v>
      </c>
      <c r="W11" s="441">
        <v>22300</v>
      </c>
      <c r="X11" s="441">
        <v>1700</v>
      </c>
      <c r="Y11" s="441">
        <v>70700</v>
      </c>
      <c r="Z11" s="441">
        <v>25400</v>
      </c>
      <c r="AA11" s="441">
        <v>2600</v>
      </c>
      <c r="AB11" s="441">
        <v>15200</v>
      </c>
      <c r="AC11" s="441">
        <v>1500</v>
      </c>
      <c r="AD11" s="441">
        <v>19100</v>
      </c>
      <c r="AE11" s="441">
        <v>2500</v>
      </c>
      <c r="AF11" s="441">
        <v>0</v>
      </c>
      <c r="AG11" s="441">
        <v>0</v>
      </c>
      <c r="AH11" s="441">
        <v>500</v>
      </c>
      <c r="AI11" s="441">
        <v>26000</v>
      </c>
      <c r="AJ11" s="441">
        <v>24100</v>
      </c>
      <c r="AK11" s="441">
        <v>94300</v>
      </c>
      <c r="AL11" s="441">
        <v>119900</v>
      </c>
      <c r="AM11" s="441">
        <v>11800</v>
      </c>
      <c r="AN11" s="441">
        <v>1800</v>
      </c>
      <c r="AO11" s="441">
        <v>184600</v>
      </c>
      <c r="AP11" s="441">
        <v>0</v>
      </c>
      <c r="AQ11" s="441">
        <v>23300</v>
      </c>
      <c r="AR11" s="441">
        <v>3100</v>
      </c>
      <c r="AS11" s="441">
        <v>68700</v>
      </c>
      <c r="AT11" s="441">
        <v>19700</v>
      </c>
      <c r="AU11" s="441">
        <v>13800</v>
      </c>
      <c r="AV11" s="441">
        <v>0</v>
      </c>
      <c r="AW11" s="441">
        <v>72700</v>
      </c>
      <c r="AX11" s="441">
        <v>1900</v>
      </c>
      <c r="AY11" s="441">
        <v>63300</v>
      </c>
      <c r="AZ11" s="441">
        <v>36900</v>
      </c>
      <c r="BA11" s="441">
        <v>33100</v>
      </c>
    </row>
    <row r="12" spans="1:54" x14ac:dyDescent="0.2">
      <c r="A12" s="72">
        <v>9</v>
      </c>
      <c r="B12" s="317" t="s">
        <v>866</v>
      </c>
      <c r="C12" s="83"/>
      <c r="D12" s="441">
        <v>265400</v>
      </c>
      <c r="E12" s="441">
        <v>294700</v>
      </c>
      <c r="F12" s="441">
        <v>109800</v>
      </c>
      <c r="G12" s="441">
        <v>179400</v>
      </c>
      <c r="H12" s="441">
        <v>1566500</v>
      </c>
      <c r="I12" s="441">
        <v>388400</v>
      </c>
      <c r="J12" s="441">
        <v>125200</v>
      </c>
      <c r="K12" s="441">
        <v>41900</v>
      </c>
      <c r="L12" s="441">
        <v>177200</v>
      </c>
      <c r="M12" s="441">
        <v>331700</v>
      </c>
      <c r="N12" s="441">
        <v>200</v>
      </c>
      <c r="O12" s="441">
        <v>75500</v>
      </c>
      <c r="P12" s="441">
        <v>938000</v>
      </c>
      <c r="Q12" s="441">
        <v>549000</v>
      </c>
      <c r="R12" s="441">
        <v>267600</v>
      </c>
      <c r="S12" s="441">
        <v>253600</v>
      </c>
      <c r="T12" s="441">
        <v>212700</v>
      </c>
      <c r="U12" s="441">
        <v>1202900</v>
      </c>
      <c r="V12" s="441">
        <v>38700</v>
      </c>
      <c r="W12" s="441">
        <v>177500</v>
      </c>
      <c r="X12" s="441">
        <v>268000</v>
      </c>
      <c r="Y12" s="441">
        <v>672800</v>
      </c>
      <c r="Z12" s="441">
        <v>396500</v>
      </c>
      <c r="AA12" s="441">
        <v>193700</v>
      </c>
      <c r="AB12" s="441">
        <v>236500</v>
      </c>
      <c r="AC12" s="441">
        <v>74700</v>
      </c>
      <c r="AD12" s="441">
        <v>169400</v>
      </c>
      <c r="AE12" s="441">
        <v>89600</v>
      </c>
      <c r="AF12" s="441">
        <v>23200</v>
      </c>
      <c r="AG12" s="441">
        <v>472600</v>
      </c>
      <c r="AH12" s="441">
        <v>176900</v>
      </c>
      <c r="AI12" s="441">
        <v>803300</v>
      </c>
      <c r="AJ12" s="441">
        <v>221000</v>
      </c>
      <c r="AK12" s="441">
        <v>72100</v>
      </c>
      <c r="AL12" s="441">
        <v>750100</v>
      </c>
      <c r="AM12" s="441">
        <v>403300</v>
      </c>
      <c r="AN12" s="441">
        <v>142400</v>
      </c>
      <c r="AO12" s="441">
        <v>683600</v>
      </c>
      <c r="AP12" s="441">
        <v>37200</v>
      </c>
      <c r="AQ12" s="441">
        <v>132200</v>
      </c>
      <c r="AR12" s="441">
        <v>72400</v>
      </c>
      <c r="AS12" s="441">
        <v>232100</v>
      </c>
      <c r="AT12" s="441">
        <v>2272900</v>
      </c>
      <c r="AU12" s="441">
        <v>189200</v>
      </c>
      <c r="AV12" s="441">
        <v>8600</v>
      </c>
      <c r="AW12" s="441">
        <v>236900</v>
      </c>
      <c r="AX12" s="441">
        <v>231800</v>
      </c>
      <c r="AY12" s="441">
        <v>122200</v>
      </c>
      <c r="AZ12" s="441">
        <v>350900</v>
      </c>
      <c r="BA12" s="441">
        <v>161400</v>
      </c>
    </row>
    <row r="13" spans="1:54" x14ac:dyDescent="0.2">
      <c r="A13" s="72">
        <v>10</v>
      </c>
      <c r="B13" s="317" t="s">
        <v>867</v>
      </c>
      <c r="C13" s="83"/>
      <c r="D13" s="441">
        <v>548400</v>
      </c>
      <c r="E13" s="441">
        <v>262300</v>
      </c>
      <c r="F13" s="441">
        <v>500300</v>
      </c>
      <c r="G13" s="441">
        <v>335100</v>
      </c>
      <c r="H13" s="441">
        <v>3394300</v>
      </c>
      <c r="I13" s="441">
        <v>472600</v>
      </c>
      <c r="J13" s="441">
        <v>313800</v>
      </c>
      <c r="K13" s="441">
        <v>101100</v>
      </c>
      <c r="L13" s="441">
        <v>1576200</v>
      </c>
      <c r="M13" s="441">
        <v>995600</v>
      </c>
      <c r="N13" s="441">
        <v>168500</v>
      </c>
      <c r="O13" s="441">
        <v>161300</v>
      </c>
      <c r="P13" s="441">
        <v>1200400</v>
      </c>
      <c r="Q13" s="441">
        <v>753300</v>
      </c>
      <c r="R13" s="441">
        <v>420800</v>
      </c>
      <c r="S13" s="441">
        <v>397200</v>
      </c>
      <c r="T13" s="441">
        <v>595700</v>
      </c>
      <c r="U13" s="441">
        <v>1857600</v>
      </c>
      <c r="V13" s="441">
        <v>189000</v>
      </c>
      <c r="W13" s="441">
        <v>475700</v>
      </c>
      <c r="X13" s="441">
        <v>568000</v>
      </c>
      <c r="Y13" s="441">
        <v>766200</v>
      </c>
      <c r="Z13" s="441">
        <v>602800</v>
      </c>
      <c r="AA13" s="441">
        <v>408600</v>
      </c>
      <c r="AB13" s="441">
        <v>641200</v>
      </c>
      <c r="AC13" s="441">
        <v>163800</v>
      </c>
      <c r="AD13" s="441">
        <v>234400</v>
      </c>
      <c r="AE13" s="441">
        <v>207400</v>
      </c>
      <c r="AF13" s="441">
        <v>147700</v>
      </c>
      <c r="AG13" s="441">
        <v>1094200</v>
      </c>
      <c r="AH13" s="441">
        <v>251700</v>
      </c>
      <c r="AI13" s="441">
        <v>1244000</v>
      </c>
      <c r="AJ13" s="441">
        <v>780600</v>
      </c>
      <c r="AK13" s="441">
        <v>183100</v>
      </c>
      <c r="AL13" s="441">
        <v>1140900</v>
      </c>
      <c r="AM13" s="441">
        <v>530400</v>
      </c>
      <c r="AN13" s="441">
        <v>338900</v>
      </c>
      <c r="AO13" s="441">
        <v>1215900</v>
      </c>
      <c r="AP13" s="441">
        <v>79200</v>
      </c>
      <c r="AQ13" s="441">
        <v>482000</v>
      </c>
      <c r="AR13" s="441">
        <v>116300</v>
      </c>
      <c r="AS13" s="441">
        <v>688800</v>
      </c>
      <c r="AT13" s="441">
        <v>5833400</v>
      </c>
      <c r="AU13" s="441">
        <v>284900</v>
      </c>
      <c r="AV13" s="441">
        <v>77200</v>
      </c>
      <c r="AW13" s="441">
        <v>754500</v>
      </c>
      <c r="AX13" s="441">
        <v>723900</v>
      </c>
      <c r="AY13" s="441">
        <v>186400</v>
      </c>
      <c r="AZ13" s="441">
        <v>515300</v>
      </c>
      <c r="BA13" s="441">
        <v>164500</v>
      </c>
    </row>
    <row r="14" spans="1:54" x14ac:dyDescent="0.2">
      <c r="A14" s="460">
        <v>11</v>
      </c>
      <c r="B14" s="317" t="s">
        <v>868</v>
      </c>
      <c r="C14" s="84"/>
      <c r="D14" s="217">
        <v>11189655.172413792</v>
      </c>
      <c r="E14" s="217">
        <v>1637931.0344827587</v>
      </c>
      <c r="F14" s="217">
        <v>1724137.9310344828</v>
      </c>
      <c r="G14" s="217">
        <v>965517.24137931038</v>
      </c>
      <c r="H14" s="217">
        <v>6137931.0344827585</v>
      </c>
      <c r="I14" s="217">
        <v>1120689.6551724137</v>
      </c>
      <c r="J14" s="217">
        <v>0</v>
      </c>
      <c r="K14" s="217">
        <v>0</v>
      </c>
      <c r="L14" s="217">
        <v>2172413.7931034481</v>
      </c>
      <c r="M14" s="217">
        <v>5086206.8965517245</v>
      </c>
      <c r="N14" s="217">
        <v>224137.93103448275</v>
      </c>
      <c r="O14" s="217">
        <v>1344827.5862068965</v>
      </c>
      <c r="P14" s="217">
        <v>19637931.034482758</v>
      </c>
      <c r="Q14" s="217">
        <v>41603448.275862068</v>
      </c>
      <c r="R14" s="217">
        <v>13103448.27586207</v>
      </c>
      <c r="S14" s="217">
        <v>431034.4827586207</v>
      </c>
      <c r="T14" s="217">
        <v>8448275.862068966</v>
      </c>
      <c r="U14" s="217">
        <v>224137.93103448275</v>
      </c>
      <c r="V14" s="217">
        <v>86206.896551724145</v>
      </c>
      <c r="W14" s="217">
        <v>3844827.5862068967</v>
      </c>
      <c r="X14" s="217">
        <v>293103.44827586209</v>
      </c>
      <c r="Y14" s="217">
        <v>12189655.172413792</v>
      </c>
      <c r="Z14" s="217">
        <v>4379310.3448275859</v>
      </c>
      <c r="AA14" s="217">
        <v>448275.86206896551</v>
      </c>
      <c r="AB14" s="217">
        <v>2620689.6551724137</v>
      </c>
      <c r="AC14" s="217">
        <v>258620.68965517241</v>
      </c>
      <c r="AD14" s="217">
        <v>3293103.4482758623</v>
      </c>
      <c r="AE14" s="217">
        <v>431034.4827586207</v>
      </c>
      <c r="AF14" s="217">
        <v>0</v>
      </c>
      <c r="AG14" s="217">
        <v>0</v>
      </c>
      <c r="AH14" s="217">
        <v>86206.896551724145</v>
      </c>
      <c r="AI14" s="217">
        <v>4482758.6206896547</v>
      </c>
      <c r="AJ14" s="217">
        <v>4155172.4137931033</v>
      </c>
      <c r="AK14" s="217">
        <v>16258620.689655172</v>
      </c>
      <c r="AL14" s="217">
        <v>20672413.793103449</v>
      </c>
      <c r="AM14" s="217">
        <v>2034482.7586206896</v>
      </c>
      <c r="AN14" s="217">
        <v>310344.8275862069</v>
      </c>
      <c r="AO14" s="217">
        <v>31827586.206896551</v>
      </c>
      <c r="AP14" s="217">
        <v>0</v>
      </c>
      <c r="AQ14" s="217">
        <v>4017241.3793103448</v>
      </c>
      <c r="AR14" s="217">
        <v>534482.75862068962</v>
      </c>
      <c r="AS14" s="217">
        <v>11844827.586206896</v>
      </c>
      <c r="AT14" s="217">
        <v>3396551.7241379311</v>
      </c>
      <c r="AU14" s="217">
        <v>2379310.3448275863</v>
      </c>
      <c r="AV14" s="217">
        <v>0</v>
      </c>
      <c r="AW14" s="217">
        <v>12534482.758620691</v>
      </c>
      <c r="AX14" s="217">
        <v>327586.20689655171</v>
      </c>
      <c r="AY14" s="217">
        <v>10913793.103448275</v>
      </c>
      <c r="AZ14" s="217">
        <v>6362068.9655172415</v>
      </c>
      <c r="BA14" s="217">
        <v>5706896.5517241377</v>
      </c>
    </row>
    <row r="15" spans="1:54" x14ac:dyDescent="0.2">
      <c r="A15" s="460">
        <v>12</v>
      </c>
      <c r="B15" s="317" t="s">
        <v>869</v>
      </c>
      <c r="C15" s="84"/>
      <c r="D15" s="217">
        <v>45758620.68965517</v>
      </c>
      <c r="E15" s="217">
        <v>50810344.827586204</v>
      </c>
      <c r="F15" s="217">
        <v>18931034.482758619</v>
      </c>
      <c r="G15" s="217">
        <v>30931034.482758619</v>
      </c>
      <c r="H15" s="217">
        <v>270086206.89655173</v>
      </c>
      <c r="I15" s="217">
        <v>66965517.241379313</v>
      </c>
      <c r="J15" s="217">
        <v>21586206.896551725</v>
      </c>
      <c r="K15" s="217">
        <v>7224137.931034483</v>
      </c>
      <c r="L15" s="217">
        <v>30551724.137931034</v>
      </c>
      <c r="M15" s="217">
        <v>57189655.172413796</v>
      </c>
      <c r="N15" s="217">
        <v>34482.758620689652</v>
      </c>
      <c r="O15" s="217">
        <v>13017241.379310345</v>
      </c>
      <c r="P15" s="217">
        <v>161724137.93103448</v>
      </c>
      <c r="Q15" s="217">
        <v>94655172.413793102</v>
      </c>
      <c r="R15" s="217">
        <v>46137931.034482762</v>
      </c>
      <c r="S15" s="217">
        <v>43724137.931034483</v>
      </c>
      <c r="T15" s="217">
        <v>36672413.793103449</v>
      </c>
      <c r="U15" s="217">
        <v>207396551.72413793</v>
      </c>
      <c r="V15" s="217">
        <v>6672413.7931034481</v>
      </c>
      <c r="W15" s="217">
        <v>30603448.275862068</v>
      </c>
      <c r="X15" s="217">
        <v>46206896.551724136</v>
      </c>
      <c r="Y15" s="217">
        <v>116000000</v>
      </c>
      <c r="Z15" s="217">
        <v>68362068.965517238</v>
      </c>
      <c r="AA15" s="217">
        <v>33396551.724137932</v>
      </c>
      <c r="AB15" s="217">
        <v>40775862.068965517</v>
      </c>
      <c r="AC15" s="217">
        <v>12879310.344827587</v>
      </c>
      <c r="AD15" s="217">
        <v>29206896.55172414</v>
      </c>
      <c r="AE15" s="217">
        <v>15448275.862068966</v>
      </c>
      <c r="AF15" s="217">
        <v>4000000</v>
      </c>
      <c r="AG15" s="217">
        <v>81482758.62068966</v>
      </c>
      <c r="AH15" s="217">
        <v>30500000</v>
      </c>
      <c r="AI15" s="217">
        <v>138500000</v>
      </c>
      <c r="AJ15" s="217">
        <v>38103448.275862068</v>
      </c>
      <c r="AK15" s="217">
        <v>12431034.482758621</v>
      </c>
      <c r="AL15" s="217">
        <v>129327586.20689656</v>
      </c>
      <c r="AM15" s="217">
        <v>69534482.758620694</v>
      </c>
      <c r="AN15" s="217">
        <v>24551724.137931034</v>
      </c>
      <c r="AO15" s="217">
        <v>117862068.96551724</v>
      </c>
      <c r="AP15" s="217">
        <v>6413793.1034482755</v>
      </c>
      <c r="AQ15" s="217">
        <v>22793103.44827586</v>
      </c>
      <c r="AR15" s="217">
        <v>12482758.620689655</v>
      </c>
      <c r="AS15" s="217">
        <v>40017241.379310347</v>
      </c>
      <c r="AT15" s="217">
        <v>391879310.34482759</v>
      </c>
      <c r="AU15" s="217">
        <v>32620689.655172415</v>
      </c>
      <c r="AV15" s="217">
        <v>1482758.6206896552</v>
      </c>
      <c r="AW15" s="217">
        <v>40844827.586206898</v>
      </c>
      <c r="AX15" s="217">
        <v>39965517.241379313</v>
      </c>
      <c r="AY15" s="217">
        <v>21068965.517241381</v>
      </c>
      <c r="AZ15" s="217">
        <v>60500000</v>
      </c>
      <c r="BA15" s="217">
        <v>27827586.206896551</v>
      </c>
      <c r="BB15" s="495"/>
    </row>
    <row r="16" spans="1:54" x14ac:dyDescent="0.2">
      <c r="A16" s="460">
        <v>13</v>
      </c>
      <c r="B16" s="317" t="s">
        <v>870</v>
      </c>
      <c r="C16" s="84"/>
      <c r="D16" s="217">
        <v>94551724.137931034</v>
      </c>
      <c r="E16" s="217">
        <v>45224137.931034483</v>
      </c>
      <c r="F16" s="217">
        <v>86258620.68965517</v>
      </c>
      <c r="G16" s="217">
        <v>57775862.068965517</v>
      </c>
      <c r="H16" s="217">
        <v>585224137.93103445</v>
      </c>
      <c r="I16" s="217">
        <v>81482758.62068966</v>
      </c>
      <c r="J16" s="217">
        <v>54103448.275862068</v>
      </c>
      <c r="K16" s="217">
        <v>17431034.482758619</v>
      </c>
      <c r="L16" s="217">
        <v>271758620.68965518</v>
      </c>
      <c r="M16" s="217">
        <v>171655172.41379312</v>
      </c>
      <c r="N16" s="217">
        <v>29051724.137931034</v>
      </c>
      <c r="O16" s="217">
        <v>27810344.827586208</v>
      </c>
      <c r="P16" s="217">
        <v>206965517.24137932</v>
      </c>
      <c r="Q16" s="217">
        <v>129879310.34482759</v>
      </c>
      <c r="R16" s="217">
        <v>72551724.137931034</v>
      </c>
      <c r="S16" s="217">
        <v>68482758.62068966</v>
      </c>
      <c r="T16" s="217">
        <v>102706896.55172414</v>
      </c>
      <c r="U16" s="217">
        <v>320275862.06896549</v>
      </c>
      <c r="V16" s="217">
        <v>32586206.896551725</v>
      </c>
      <c r="W16" s="217">
        <v>82017241.37931034</v>
      </c>
      <c r="X16" s="217">
        <v>97931034.482758626</v>
      </c>
      <c r="Y16" s="217">
        <v>132103448.27586207</v>
      </c>
      <c r="Z16" s="217">
        <v>103931034.48275863</v>
      </c>
      <c r="AA16" s="217">
        <v>70448275.862068966</v>
      </c>
      <c r="AB16" s="217">
        <v>110551724.13793103</v>
      </c>
      <c r="AC16" s="217">
        <v>28241379.310344826</v>
      </c>
      <c r="AD16" s="217">
        <v>40413793.103448279</v>
      </c>
      <c r="AE16" s="217">
        <v>35758620.68965517</v>
      </c>
      <c r="AF16" s="217">
        <v>25465517.241379309</v>
      </c>
      <c r="AG16" s="217">
        <v>188655172.41379312</v>
      </c>
      <c r="AH16" s="217">
        <v>43396551.724137932</v>
      </c>
      <c r="AI16" s="217">
        <v>214482758.62068966</v>
      </c>
      <c r="AJ16" s="217">
        <v>134586206.89655173</v>
      </c>
      <c r="AK16" s="217">
        <v>31568965.517241381</v>
      </c>
      <c r="AL16" s="217">
        <v>196706896.55172414</v>
      </c>
      <c r="AM16" s="217">
        <v>91448275.862068966</v>
      </c>
      <c r="AN16" s="217">
        <v>58431034.482758619</v>
      </c>
      <c r="AO16" s="217">
        <v>209637931.03448275</v>
      </c>
      <c r="AP16" s="217">
        <v>13655172.413793104</v>
      </c>
      <c r="AQ16" s="217">
        <v>83103448.275862068</v>
      </c>
      <c r="AR16" s="217">
        <v>20051724.137931034</v>
      </c>
      <c r="AS16" s="217">
        <v>118758620.68965517</v>
      </c>
      <c r="AT16" s="217">
        <v>1005758620.6896552</v>
      </c>
      <c r="AU16" s="217">
        <v>49120689.655172415</v>
      </c>
      <c r="AV16" s="217">
        <v>13310344.827586208</v>
      </c>
      <c r="AW16" s="217">
        <v>130086206.89655173</v>
      </c>
      <c r="AX16" s="217">
        <v>124810344.8275862</v>
      </c>
      <c r="AY16" s="217">
        <v>32137931.034482758</v>
      </c>
      <c r="AZ16" s="217">
        <v>88844827.586206898</v>
      </c>
      <c r="BA16" s="217">
        <v>28362068.965517242</v>
      </c>
    </row>
    <row r="17" spans="1:53" x14ac:dyDescent="0.2">
      <c r="A17" s="460">
        <v>14</v>
      </c>
      <c r="B17" s="214" t="s">
        <v>871</v>
      </c>
      <c r="C17" s="84"/>
      <c r="D17" s="212">
        <f>SUM(D14:D16)</f>
        <v>151500000</v>
      </c>
      <c r="E17" s="212">
        <f t="shared" ref="E17:AZ17" si="45">SUM(E14:E16)</f>
        <v>97672413.793103456</v>
      </c>
      <c r="F17" s="212">
        <f t="shared" si="45"/>
        <v>106913793.10344827</v>
      </c>
      <c r="G17" s="212">
        <f t="shared" si="45"/>
        <v>89672413.793103442</v>
      </c>
      <c r="H17" s="212">
        <f t="shared" si="45"/>
        <v>861448275.86206889</v>
      </c>
      <c r="I17" s="212">
        <f t="shared" si="45"/>
        <v>149568965.51724139</v>
      </c>
      <c r="J17" s="212">
        <f t="shared" si="45"/>
        <v>75689655.172413796</v>
      </c>
      <c r="K17" s="212">
        <f t="shared" si="45"/>
        <v>24655172.413793102</v>
      </c>
      <c r="L17" s="212">
        <f t="shared" si="45"/>
        <v>304482758.62068969</v>
      </c>
      <c r="M17" s="212">
        <f t="shared" si="45"/>
        <v>233931034.48275864</v>
      </c>
      <c r="N17" s="212">
        <f t="shared" si="45"/>
        <v>29310344.827586208</v>
      </c>
      <c r="O17" s="212">
        <f t="shared" si="45"/>
        <v>42172413.793103449</v>
      </c>
      <c r="P17" s="212">
        <f t="shared" si="45"/>
        <v>388327586.20689654</v>
      </c>
      <c r="Q17" s="212">
        <f t="shared" si="45"/>
        <v>266137931.03448278</v>
      </c>
      <c r="R17" s="212">
        <f t="shared" si="45"/>
        <v>131793103.44827586</v>
      </c>
      <c r="S17" s="212">
        <f t="shared" si="45"/>
        <v>112637931.03448276</v>
      </c>
      <c r="T17" s="212">
        <f t="shared" si="45"/>
        <v>147827586.20689654</v>
      </c>
      <c r="U17" s="212">
        <f t="shared" si="45"/>
        <v>527896551.7241379</v>
      </c>
      <c r="V17" s="212">
        <f t="shared" si="45"/>
        <v>39344827.586206898</v>
      </c>
      <c r="W17" s="212">
        <f t="shared" si="45"/>
        <v>116465517.24137931</v>
      </c>
      <c r="X17" s="212">
        <f t="shared" si="45"/>
        <v>144431034.48275864</v>
      </c>
      <c r="Y17" s="212">
        <f t="shared" si="45"/>
        <v>260293103.44827586</v>
      </c>
      <c r="Z17" s="212">
        <f t="shared" si="45"/>
        <v>176672413.79310346</v>
      </c>
      <c r="AA17" s="212">
        <f t="shared" si="45"/>
        <v>104293103.44827586</v>
      </c>
      <c r="AB17" s="212">
        <f t="shared" si="45"/>
        <v>153948275.86206895</v>
      </c>
      <c r="AC17" s="212">
        <f t="shared" si="45"/>
        <v>41379310.344827585</v>
      </c>
      <c r="AD17" s="212">
        <f t="shared" si="45"/>
        <v>72913793.103448272</v>
      </c>
      <c r="AE17" s="212">
        <f t="shared" si="45"/>
        <v>51637931.034482755</v>
      </c>
      <c r="AF17" s="212">
        <f t="shared" si="45"/>
        <v>29465517.241379309</v>
      </c>
      <c r="AG17" s="212">
        <f t="shared" si="45"/>
        <v>270137931.03448278</v>
      </c>
      <c r="AH17" s="212">
        <f t="shared" si="45"/>
        <v>73982758.62068966</v>
      </c>
      <c r="AI17" s="212">
        <f t="shared" si="45"/>
        <v>357465517.24137932</v>
      </c>
      <c r="AJ17" s="212">
        <f t="shared" si="45"/>
        <v>176844827.58620691</v>
      </c>
      <c r="AK17" s="212">
        <f t="shared" si="45"/>
        <v>60258620.68965517</v>
      </c>
      <c r="AL17" s="212">
        <f t="shared" si="45"/>
        <v>346706896.55172414</v>
      </c>
      <c r="AM17" s="212">
        <f t="shared" si="45"/>
        <v>163017241.37931037</v>
      </c>
      <c r="AN17" s="212">
        <f t="shared" si="45"/>
        <v>83293103.448275864</v>
      </c>
      <c r="AO17" s="212">
        <f t="shared" si="45"/>
        <v>359327586.20689654</v>
      </c>
      <c r="AP17" s="212">
        <f t="shared" si="45"/>
        <v>20068965.517241381</v>
      </c>
      <c r="AQ17" s="212">
        <f t="shared" si="45"/>
        <v>109913793.10344827</v>
      </c>
      <c r="AR17" s="212">
        <f t="shared" si="45"/>
        <v>33068965.517241377</v>
      </c>
      <c r="AS17" s="212">
        <f t="shared" si="45"/>
        <v>170620689.65517241</v>
      </c>
      <c r="AT17" s="212">
        <f t="shared" si="45"/>
        <v>1401034482.7586207</v>
      </c>
      <c r="AU17" s="212">
        <f t="shared" si="45"/>
        <v>84120689.655172408</v>
      </c>
      <c r="AV17" s="212">
        <f t="shared" si="45"/>
        <v>14793103.448275862</v>
      </c>
      <c r="AW17" s="212">
        <f t="shared" si="45"/>
        <v>183465517.24137932</v>
      </c>
      <c r="AX17" s="212">
        <f t="shared" si="45"/>
        <v>165103448.27586207</v>
      </c>
      <c r="AY17" s="212">
        <f t="shared" si="45"/>
        <v>64120689.655172415</v>
      </c>
      <c r="AZ17" s="212">
        <f t="shared" si="45"/>
        <v>155706896.55172414</v>
      </c>
      <c r="BA17" s="212">
        <f>SUM(BA14:BA16)</f>
        <v>61896551.724137932</v>
      </c>
    </row>
    <row r="18" spans="1:53" x14ac:dyDescent="0.2">
      <c r="A18" s="72">
        <v>15</v>
      </c>
      <c r="B18" s="210" t="s">
        <v>1067</v>
      </c>
      <c r="C18" s="210">
        <v>151.96</v>
      </c>
    </row>
    <row r="19" spans="1:53" x14ac:dyDescent="0.2">
      <c r="A19" s="72">
        <v>16</v>
      </c>
      <c r="B19" s="83" t="s">
        <v>791</v>
      </c>
      <c r="C19" s="84">
        <f>SUM(D19:BA19)/1000000000</f>
        <v>1411.3180199999999</v>
      </c>
      <c r="D19" s="60">
        <f>$C18*D17</f>
        <v>23021940000</v>
      </c>
      <c r="E19" s="60">
        <f t="shared" ref="E19:BA19" si="46">$C18*E17</f>
        <v>14842300000.000002</v>
      </c>
      <c r="F19" s="60">
        <f t="shared" si="46"/>
        <v>16246620000</v>
      </c>
      <c r="G19" s="60">
        <f t="shared" si="46"/>
        <v>13626620000</v>
      </c>
      <c r="H19" s="60">
        <f t="shared" si="46"/>
        <v>130905680000</v>
      </c>
      <c r="I19" s="60">
        <f t="shared" si="46"/>
        <v>22728500000.000004</v>
      </c>
      <c r="J19" s="60">
        <f t="shared" si="46"/>
        <v>11501800000.000002</v>
      </c>
      <c r="K19" s="60">
        <f t="shared" si="46"/>
        <v>3746600000</v>
      </c>
      <c r="L19" s="60">
        <f t="shared" si="46"/>
        <v>46269200000.000008</v>
      </c>
      <c r="M19" s="60">
        <f t="shared" si="46"/>
        <v>35548160000.000008</v>
      </c>
      <c r="N19" s="60">
        <f t="shared" si="46"/>
        <v>4454000000</v>
      </c>
      <c r="O19" s="60">
        <f t="shared" si="46"/>
        <v>6408520000</v>
      </c>
      <c r="P19" s="60">
        <f t="shared" si="46"/>
        <v>59010260000</v>
      </c>
      <c r="Q19" s="60">
        <f t="shared" si="46"/>
        <v>40442320000.000008</v>
      </c>
      <c r="R19" s="60">
        <f t="shared" si="46"/>
        <v>20027280000</v>
      </c>
      <c r="S19" s="60">
        <f t="shared" si="46"/>
        <v>17116460000.000002</v>
      </c>
      <c r="T19" s="60">
        <f t="shared" si="46"/>
        <v>22463880000</v>
      </c>
      <c r="U19" s="60">
        <f t="shared" si="46"/>
        <v>80219160000</v>
      </c>
      <c r="V19" s="60">
        <f t="shared" si="46"/>
        <v>5978840000.000001</v>
      </c>
      <c r="W19" s="60">
        <f t="shared" si="46"/>
        <v>17698100000</v>
      </c>
      <c r="X19" s="60">
        <f t="shared" si="46"/>
        <v>21947740000.000004</v>
      </c>
      <c r="Y19" s="60">
        <f t="shared" si="46"/>
        <v>39554140000</v>
      </c>
      <c r="Z19" s="60">
        <f t="shared" si="46"/>
        <v>26847140000.000004</v>
      </c>
      <c r="AA19" s="60">
        <f t="shared" si="46"/>
        <v>15848380000.000002</v>
      </c>
      <c r="AB19" s="60">
        <f t="shared" si="46"/>
        <v>23393980000</v>
      </c>
      <c r="AC19" s="60">
        <f t="shared" si="46"/>
        <v>6288000000</v>
      </c>
      <c r="AD19" s="60">
        <f t="shared" si="46"/>
        <v>11079980000</v>
      </c>
      <c r="AE19" s="60">
        <f t="shared" si="46"/>
        <v>7846900000</v>
      </c>
      <c r="AF19" s="60">
        <f t="shared" si="46"/>
        <v>4477580000</v>
      </c>
      <c r="AG19" s="60">
        <f t="shared" si="46"/>
        <v>41050160000.000008</v>
      </c>
      <c r="AH19" s="60">
        <f t="shared" si="46"/>
        <v>11242420000.000002</v>
      </c>
      <c r="AI19" s="60">
        <f t="shared" si="46"/>
        <v>54320460000.000008</v>
      </c>
      <c r="AJ19" s="60">
        <f t="shared" si="46"/>
        <v>26873340000.000004</v>
      </c>
      <c r="AK19" s="60">
        <f t="shared" si="46"/>
        <v>9156900000</v>
      </c>
      <c r="AL19" s="60">
        <f t="shared" si="46"/>
        <v>52685580000</v>
      </c>
      <c r="AM19" s="60">
        <f t="shared" si="46"/>
        <v>24772100000.000004</v>
      </c>
      <c r="AN19" s="60">
        <f t="shared" si="46"/>
        <v>12657220000.000002</v>
      </c>
      <c r="AO19" s="60">
        <f t="shared" si="46"/>
        <v>54603420000</v>
      </c>
      <c r="AP19" s="60">
        <f t="shared" si="46"/>
        <v>3049680000.0000005</v>
      </c>
      <c r="AQ19" s="60">
        <f t="shared" si="46"/>
        <v>16702500000</v>
      </c>
      <c r="AR19" s="60">
        <f t="shared" si="46"/>
        <v>5025160000</v>
      </c>
      <c r="AS19" s="60">
        <f t="shared" si="46"/>
        <v>25927520000</v>
      </c>
      <c r="AT19" s="60">
        <f t="shared" si="46"/>
        <v>212901200000.00003</v>
      </c>
      <c r="AU19" s="60">
        <f t="shared" si="46"/>
        <v>12782980000</v>
      </c>
      <c r="AV19" s="60">
        <f t="shared" si="46"/>
        <v>2247960000</v>
      </c>
      <c r="AW19" s="60">
        <f t="shared" si="46"/>
        <v>27879420000.000004</v>
      </c>
      <c r="AX19" s="60">
        <f t="shared" si="46"/>
        <v>25089120000</v>
      </c>
      <c r="AY19" s="60">
        <f t="shared" si="46"/>
        <v>9743780000</v>
      </c>
      <c r="AZ19" s="60">
        <f t="shared" si="46"/>
        <v>23661220000</v>
      </c>
      <c r="BA19" s="60">
        <f t="shared" si="46"/>
        <v>9405800000</v>
      </c>
    </row>
    <row r="20" spans="1:53" x14ac:dyDescent="0.2">
      <c r="A20" s="72">
        <v>17</v>
      </c>
      <c r="B20" s="442" t="s">
        <v>792</v>
      </c>
      <c r="C20" s="440"/>
      <c r="D20" s="444">
        <v>1439.3</v>
      </c>
      <c r="E20" s="444">
        <v>66.3</v>
      </c>
      <c r="F20" s="444">
        <v>1057.9000000000001</v>
      </c>
      <c r="G20" s="444">
        <v>588.9</v>
      </c>
      <c r="H20" s="444">
        <v>1753.1</v>
      </c>
      <c r="I20" s="444">
        <v>522.1</v>
      </c>
      <c r="J20" s="444">
        <v>311.10000000000002</v>
      </c>
      <c r="K20" s="444">
        <v>59.9</v>
      </c>
      <c r="L20" s="444">
        <v>1918.8</v>
      </c>
      <c r="M20" s="444">
        <v>1173</v>
      </c>
      <c r="N20" s="444">
        <v>99</v>
      </c>
      <c r="O20" s="444">
        <v>153.6</v>
      </c>
      <c r="P20" s="444">
        <v>2059.8000000000002</v>
      </c>
      <c r="Q20" s="444">
        <v>1227.7</v>
      </c>
      <c r="R20" s="444">
        <v>566.79999999999995</v>
      </c>
      <c r="S20" s="444">
        <v>489.5</v>
      </c>
      <c r="T20" s="444">
        <v>1026.7</v>
      </c>
      <c r="U20" s="444">
        <v>804.1</v>
      </c>
      <c r="V20" s="444">
        <v>113.4</v>
      </c>
      <c r="W20" s="444">
        <v>429</v>
      </c>
      <c r="X20" s="444">
        <v>336</v>
      </c>
      <c r="Y20" s="444">
        <v>1136.4000000000001</v>
      </c>
      <c r="Z20" s="444">
        <v>563.1</v>
      </c>
      <c r="AA20" s="444">
        <v>458.7</v>
      </c>
      <c r="AB20" s="444">
        <v>971.4</v>
      </c>
      <c r="AC20" s="444">
        <v>310.5</v>
      </c>
      <c r="AD20" s="444">
        <v>370.1</v>
      </c>
      <c r="AE20" s="444">
        <v>272.3</v>
      </c>
      <c r="AF20" s="444">
        <v>196.6</v>
      </c>
      <c r="AG20" s="444">
        <v>618.9</v>
      </c>
      <c r="AH20" s="444">
        <v>383.4</v>
      </c>
      <c r="AI20" s="444">
        <v>1364.2</v>
      </c>
      <c r="AJ20" s="444">
        <v>1170.5999999999999</v>
      </c>
      <c r="AK20" s="444">
        <v>381.3</v>
      </c>
      <c r="AL20" s="444">
        <v>1379.2</v>
      </c>
      <c r="AM20" s="444">
        <v>709.4</v>
      </c>
      <c r="AN20" s="444">
        <v>558.1</v>
      </c>
      <c r="AO20" s="444">
        <v>2224.5</v>
      </c>
      <c r="AP20" s="444">
        <v>69.2</v>
      </c>
      <c r="AQ20" s="444">
        <v>1024.8</v>
      </c>
      <c r="AR20" s="444">
        <v>120.8</v>
      </c>
      <c r="AS20" s="444">
        <v>816.7</v>
      </c>
      <c r="AT20" s="444">
        <v>3890.8</v>
      </c>
      <c r="AU20" s="444">
        <v>396.4</v>
      </c>
      <c r="AV20" s="444">
        <v>79.5</v>
      </c>
      <c r="AW20" s="444">
        <v>661.9</v>
      </c>
      <c r="AX20" s="444">
        <v>1085</v>
      </c>
      <c r="AY20" s="444">
        <v>783.5</v>
      </c>
      <c r="AZ20" s="444">
        <v>630.5</v>
      </c>
      <c r="BA20" s="444">
        <v>492.3</v>
      </c>
    </row>
    <row r="21" spans="1:53" x14ac:dyDescent="0.2">
      <c r="A21" s="460"/>
      <c r="B21" s="442" t="s">
        <v>993</v>
      </c>
      <c r="C21" s="440"/>
      <c r="D21" s="444">
        <v>86.3</v>
      </c>
      <c r="E21" s="444">
        <v>13.1</v>
      </c>
      <c r="F21" s="444">
        <v>89.1</v>
      </c>
      <c r="G21" s="444">
        <v>28.7</v>
      </c>
      <c r="H21" s="444">
        <v>413.4</v>
      </c>
      <c r="I21" s="444">
        <v>20.2</v>
      </c>
      <c r="J21" s="444">
        <v>5.5</v>
      </c>
      <c r="K21" s="444">
        <v>0</v>
      </c>
      <c r="L21" s="444">
        <v>1.8</v>
      </c>
      <c r="M21" s="444">
        <v>26.1</v>
      </c>
      <c r="N21" s="444">
        <v>0.4</v>
      </c>
      <c r="O21" s="444">
        <v>130.19999999999999</v>
      </c>
      <c r="P21" s="444">
        <v>1.4</v>
      </c>
      <c r="Q21" s="444">
        <v>4</v>
      </c>
      <c r="R21" s="444">
        <v>9</v>
      </c>
      <c r="S21" s="444">
        <v>0.1</v>
      </c>
      <c r="T21" s="444">
        <v>28.8</v>
      </c>
      <c r="U21" s="444">
        <v>10.1</v>
      </c>
      <c r="V21" s="444">
        <v>31.4</v>
      </c>
      <c r="W21" s="444">
        <v>24.7</v>
      </c>
      <c r="X21" s="444">
        <v>11</v>
      </c>
      <c r="Y21" s="444">
        <v>12.9</v>
      </c>
      <c r="Z21" s="444">
        <v>6.1</v>
      </c>
      <c r="AA21" s="444">
        <v>0</v>
      </c>
      <c r="AB21" s="444">
        <v>11.5</v>
      </c>
      <c r="AC21" s="444">
        <v>122.4</v>
      </c>
      <c r="AD21" s="444">
        <v>15.7</v>
      </c>
      <c r="AE21" s="444">
        <v>21.3</v>
      </c>
      <c r="AF21" s="444">
        <v>15.5</v>
      </c>
      <c r="AG21" s="444">
        <v>0.2</v>
      </c>
      <c r="AH21" s="444">
        <v>1.9</v>
      </c>
      <c r="AI21" s="444">
        <v>271.2</v>
      </c>
      <c r="AJ21" s="444">
        <v>37.700000000000003</v>
      </c>
      <c r="AK21" s="444">
        <v>25.1</v>
      </c>
      <c r="AL21" s="444">
        <v>3.7</v>
      </c>
      <c r="AM21" s="444">
        <v>14.6</v>
      </c>
      <c r="AN21" s="444">
        <v>411.1</v>
      </c>
      <c r="AO21" s="444">
        <v>31.3</v>
      </c>
      <c r="AP21" s="444">
        <v>0.1</v>
      </c>
      <c r="AQ21" s="444">
        <v>15.1</v>
      </c>
      <c r="AR21" s="444">
        <v>64.2</v>
      </c>
      <c r="AS21" s="444">
        <v>93</v>
      </c>
      <c r="AT21" s="444">
        <v>5.5</v>
      </c>
      <c r="AU21" s="444">
        <v>12</v>
      </c>
      <c r="AV21" s="444">
        <v>13.6</v>
      </c>
      <c r="AW21" s="444">
        <v>11.7</v>
      </c>
      <c r="AX21" s="444">
        <v>892.1</v>
      </c>
      <c r="AY21" s="444">
        <v>8.6999999999999993</v>
      </c>
      <c r="AZ21" s="444">
        <v>19.399999999999999</v>
      </c>
      <c r="BA21" s="444">
        <v>11.9</v>
      </c>
    </row>
    <row r="22" spans="1:53" x14ac:dyDescent="0.2">
      <c r="A22" s="460"/>
      <c r="B22" s="442" t="s">
        <v>994</v>
      </c>
      <c r="C22" s="440"/>
      <c r="D22" s="444">
        <v>0</v>
      </c>
      <c r="E22" s="444">
        <v>0</v>
      </c>
      <c r="F22" s="444">
        <v>0.8</v>
      </c>
      <c r="G22" s="444">
        <v>0</v>
      </c>
      <c r="H22" s="444">
        <v>8.4</v>
      </c>
      <c r="I22" s="444">
        <v>0.9</v>
      </c>
      <c r="J22" s="444">
        <v>0</v>
      </c>
      <c r="K22" s="444">
        <v>0.1</v>
      </c>
      <c r="L22" s="444">
        <v>1.2</v>
      </c>
      <c r="M22" s="444">
        <v>0</v>
      </c>
      <c r="N22" s="444">
        <v>0</v>
      </c>
      <c r="O22" s="444">
        <v>0</v>
      </c>
      <c r="P22" s="444">
        <v>0.1</v>
      </c>
      <c r="Q22" s="444">
        <v>0</v>
      </c>
      <c r="R22" s="444">
        <v>0</v>
      </c>
      <c r="S22" s="444">
        <v>0</v>
      </c>
      <c r="T22" s="444">
        <v>0</v>
      </c>
      <c r="U22" s="444">
        <v>0</v>
      </c>
      <c r="V22" s="444">
        <v>0</v>
      </c>
      <c r="W22" s="444">
        <v>0</v>
      </c>
      <c r="X22" s="444">
        <v>0</v>
      </c>
      <c r="Y22" s="444">
        <v>0</v>
      </c>
      <c r="Z22" s="444">
        <v>0</v>
      </c>
      <c r="AA22" s="444">
        <v>0</v>
      </c>
      <c r="AB22" s="444">
        <v>0</v>
      </c>
      <c r="AC22" s="444">
        <v>0</v>
      </c>
      <c r="AD22" s="444">
        <v>0</v>
      </c>
      <c r="AE22" s="444">
        <v>2.5</v>
      </c>
      <c r="AF22" s="444">
        <v>0</v>
      </c>
      <c r="AG22" s="444">
        <v>0.6</v>
      </c>
      <c r="AH22" s="444">
        <v>1.2</v>
      </c>
      <c r="AI22" s="444">
        <v>0.1</v>
      </c>
      <c r="AJ22" s="444">
        <v>0.2</v>
      </c>
      <c r="AK22" s="444">
        <v>0</v>
      </c>
      <c r="AL22" s="444">
        <v>0.2</v>
      </c>
      <c r="AM22" s="444">
        <v>0</v>
      </c>
      <c r="AN22" s="444">
        <v>0</v>
      </c>
      <c r="AO22" s="444">
        <v>0.2</v>
      </c>
      <c r="AP22" s="444">
        <v>0</v>
      </c>
      <c r="AQ22" s="444">
        <v>0</v>
      </c>
      <c r="AR22" s="444">
        <v>0</v>
      </c>
      <c r="AS22" s="444">
        <v>0</v>
      </c>
      <c r="AT22" s="444">
        <v>0.3</v>
      </c>
      <c r="AU22" s="444">
        <v>0</v>
      </c>
      <c r="AV22" s="444">
        <v>0</v>
      </c>
      <c r="AW22" s="444">
        <v>0</v>
      </c>
      <c r="AX22" s="444">
        <v>0</v>
      </c>
      <c r="AY22" s="444">
        <v>0</v>
      </c>
      <c r="AZ22" s="444">
        <v>0</v>
      </c>
      <c r="BA22" s="444">
        <v>0</v>
      </c>
    </row>
    <row r="23" spans="1:53" x14ac:dyDescent="0.2">
      <c r="A23" s="460"/>
      <c r="B23" s="442" t="s">
        <v>995</v>
      </c>
      <c r="C23" s="440"/>
      <c r="D23" s="444">
        <v>0</v>
      </c>
      <c r="E23" s="444">
        <v>0.1</v>
      </c>
      <c r="F23" s="444">
        <v>2.5</v>
      </c>
      <c r="G23" s="444">
        <v>0</v>
      </c>
      <c r="H23" s="444">
        <v>75.3</v>
      </c>
      <c r="I23" s="444">
        <v>50.4</v>
      </c>
      <c r="J23" s="444">
        <v>0</v>
      </c>
      <c r="K23" s="444">
        <v>0</v>
      </c>
      <c r="L23" s="444">
        <v>0</v>
      </c>
      <c r="M23" s="444">
        <v>0</v>
      </c>
      <c r="N23" s="444">
        <v>3.3</v>
      </c>
      <c r="O23" s="444">
        <v>12.7</v>
      </c>
      <c r="P23" s="444">
        <v>60.4</v>
      </c>
      <c r="Q23" s="444">
        <v>31.9</v>
      </c>
      <c r="R23" s="444">
        <v>104</v>
      </c>
      <c r="S23" s="444">
        <v>36.1</v>
      </c>
      <c r="T23" s="444">
        <v>0</v>
      </c>
      <c r="U23" s="444">
        <v>0</v>
      </c>
      <c r="V23" s="444">
        <v>6.9</v>
      </c>
      <c r="W23" s="444">
        <v>2.6</v>
      </c>
      <c r="X23" s="444">
        <v>0.5</v>
      </c>
      <c r="Y23" s="444">
        <v>4.4000000000000004</v>
      </c>
      <c r="Z23" s="444">
        <v>65.099999999999994</v>
      </c>
      <c r="AA23" s="444">
        <v>0</v>
      </c>
      <c r="AB23" s="444">
        <v>11.4</v>
      </c>
      <c r="AC23" s="444">
        <v>12.3</v>
      </c>
      <c r="AD23" s="444">
        <v>10.199999999999999</v>
      </c>
      <c r="AE23" s="444">
        <v>0</v>
      </c>
      <c r="AF23" s="444">
        <v>0.6</v>
      </c>
      <c r="AG23" s="444">
        <v>0.1</v>
      </c>
      <c r="AH23" s="444">
        <v>20.399999999999999</v>
      </c>
      <c r="AI23" s="444">
        <v>27.5</v>
      </c>
      <c r="AJ23" s="444">
        <v>0</v>
      </c>
      <c r="AK23" s="444">
        <v>50.9</v>
      </c>
      <c r="AL23" s="444">
        <v>1.9</v>
      </c>
      <c r="AM23" s="444">
        <v>54.5</v>
      </c>
      <c r="AN23" s="444">
        <v>46.4</v>
      </c>
      <c r="AO23" s="444">
        <v>17.399999999999999</v>
      </c>
      <c r="AP23" s="444">
        <v>0</v>
      </c>
      <c r="AQ23" s="444">
        <v>0</v>
      </c>
      <c r="AR23" s="444">
        <v>25.9</v>
      </c>
      <c r="AS23" s="444">
        <v>0.5</v>
      </c>
      <c r="AT23" s="444">
        <v>296.8</v>
      </c>
      <c r="AU23" s="444">
        <v>5.6</v>
      </c>
      <c r="AV23" s="444">
        <v>0.3</v>
      </c>
      <c r="AW23" s="444">
        <v>0</v>
      </c>
      <c r="AX23" s="444">
        <v>60.8</v>
      </c>
      <c r="AY23" s="444">
        <v>10.7</v>
      </c>
      <c r="AZ23" s="444">
        <v>11.5</v>
      </c>
      <c r="BA23" s="444">
        <v>44.8</v>
      </c>
    </row>
    <row r="24" spans="1:53" x14ac:dyDescent="0.2">
      <c r="A24" s="72"/>
      <c r="B24" s="445" t="s">
        <v>996</v>
      </c>
      <c r="C24" s="440"/>
      <c r="D24" s="446">
        <f>D20-D21-D22-D23</f>
        <v>1353</v>
      </c>
      <c r="E24" s="446">
        <f t="shared" ref="E24:BA24" si="47">E20-E21-E22-E23</f>
        <v>53.099999999999994</v>
      </c>
      <c r="F24" s="446">
        <f t="shared" si="47"/>
        <v>965.50000000000011</v>
      </c>
      <c r="G24" s="446">
        <f t="shared" si="47"/>
        <v>560.19999999999993</v>
      </c>
      <c r="H24" s="446">
        <f t="shared" si="47"/>
        <v>1255.9999999999998</v>
      </c>
      <c r="I24" s="446">
        <f t="shared" si="47"/>
        <v>450.60000000000008</v>
      </c>
      <c r="J24" s="446">
        <f t="shared" si="47"/>
        <v>305.60000000000002</v>
      </c>
      <c r="K24" s="446">
        <f t="shared" si="47"/>
        <v>59.8</v>
      </c>
      <c r="L24" s="446">
        <f t="shared" si="47"/>
        <v>1915.8</v>
      </c>
      <c r="M24" s="446">
        <f t="shared" si="47"/>
        <v>1146.9000000000001</v>
      </c>
      <c r="N24" s="446">
        <f t="shared" si="47"/>
        <v>95.3</v>
      </c>
      <c r="O24" s="446">
        <f t="shared" si="47"/>
        <v>10.700000000000006</v>
      </c>
      <c r="P24" s="446">
        <f t="shared" si="47"/>
        <v>1997.9</v>
      </c>
      <c r="Q24" s="446">
        <f t="shared" si="47"/>
        <v>1191.8</v>
      </c>
      <c r="R24" s="446">
        <f t="shared" si="47"/>
        <v>453.79999999999995</v>
      </c>
      <c r="S24" s="446">
        <f t="shared" si="47"/>
        <v>453.29999999999995</v>
      </c>
      <c r="T24" s="446">
        <f t="shared" si="47"/>
        <v>997.90000000000009</v>
      </c>
      <c r="U24" s="446">
        <f t="shared" si="47"/>
        <v>794</v>
      </c>
      <c r="V24" s="446">
        <f t="shared" si="47"/>
        <v>75.099999999999994</v>
      </c>
      <c r="W24" s="446">
        <f t="shared" si="47"/>
        <v>401.7</v>
      </c>
      <c r="X24" s="446">
        <f t="shared" si="47"/>
        <v>324.5</v>
      </c>
      <c r="Y24" s="446">
        <f t="shared" si="47"/>
        <v>1119.0999999999999</v>
      </c>
      <c r="Z24" s="446">
        <f t="shared" si="47"/>
        <v>491.9</v>
      </c>
      <c r="AA24" s="446">
        <f t="shared" si="47"/>
        <v>458.7</v>
      </c>
      <c r="AB24" s="446">
        <f t="shared" si="47"/>
        <v>948.5</v>
      </c>
      <c r="AC24" s="446">
        <f t="shared" si="47"/>
        <v>175.79999999999998</v>
      </c>
      <c r="AD24" s="446">
        <f t="shared" si="47"/>
        <v>344.20000000000005</v>
      </c>
      <c r="AE24" s="446">
        <f t="shared" si="47"/>
        <v>248.5</v>
      </c>
      <c r="AF24" s="446">
        <f t="shared" si="47"/>
        <v>180.5</v>
      </c>
      <c r="AG24" s="446">
        <f t="shared" si="47"/>
        <v>617.99999999999989</v>
      </c>
      <c r="AH24" s="446">
        <f t="shared" si="47"/>
        <v>359.90000000000003</v>
      </c>
      <c r="AI24" s="446">
        <f t="shared" si="47"/>
        <v>1065.4000000000001</v>
      </c>
      <c r="AJ24" s="446">
        <f t="shared" si="47"/>
        <v>1132.6999999999998</v>
      </c>
      <c r="AK24" s="446">
        <f t="shared" si="47"/>
        <v>305.3</v>
      </c>
      <c r="AL24" s="446">
        <f t="shared" si="47"/>
        <v>1373.3999999999999</v>
      </c>
      <c r="AM24" s="446">
        <f t="shared" si="47"/>
        <v>640.29999999999995</v>
      </c>
      <c r="AN24" s="446">
        <f t="shared" si="47"/>
        <v>100.6</v>
      </c>
      <c r="AO24" s="446">
        <f t="shared" si="47"/>
        <v>2175.6</v>
      </c>
      <c r="AP24" s="446">
        <f t="shared" si="47"/>
        <v>69.100000000000009</v>
      </c>
      <c r="AQ24" s="446">
        <f t="shared" si="47"/>
        <v>1009.6999999999999</v>
      </c>
      <c r="AR24" s="446">
        <f t="shared" si="47"/>
        <v>30.699999999999996</v>
      </c>
      <c r="AS24" s="446">
        <f t="shared" si="47"/>
        <v>723.2</v>
      </c>
      <c r="AT24" s="446">
        <f t="shared" si="47"/>
        <v>3588.2</v>
      </c>
      <c r="AU24" s="446">
        <f t="shared" si="47"/>
        <v>378.79999999999995</v>
      </c>
      <c r="AV24" s="446">
        <f t="shared" si="47"/>
        <v>65.600000000000009</v>
      </c>
      <c r="AW24" s="446">
        <f t="shared" si="47"/>
        <v>650.19999999999993</v>
      </c>
      <c r="AX24" s="446">
        <f t="shared" si="47"/>
        <v>132.09999999999997</v>
      </c>
      <c r="AY24" s="446">
        <f t="shared" si="47"/>
        <v>764.09999999999991</v>
      </c>
      <c r="AZ24" s="446">
        <f t="shared" si="47"/>
        <v>599.6</v>
      </c>
      <c r="BA24" s="446">
        <f t="shared" si="47"/>
        <v>435.6</v>
      </c>
    </row>
    <row r="25" spans="1:53" x14ac:dyDescent="0.2">
      <c r="A25" s="460">
        <v>21</v>
      </c>
      <c r="B25" s="443" t="s">
        <v>997</v>
      </c>
      <c r="C25" s="440"/>
      <c r="D25" s="60">
        <f>D24/3412*1000000000000</f>
        <v>396541617819.46075</v>
      </c>
      <c r="E25" s="60">
        <f t="shared" ref="E25:BA25" si="48">E24/3412*1000000000000</f>
        <v>15562719812.426727</v>
      </c>
      <c r="F25" s="60">
        <f t="shared" si="48"/>
        <v>282971864009.37866</v>
      </c>
      <c r="G25" s="60">
        <f t="shared" si="48"/>
        <v>164185228604.92377</v>
      </c>
      <c r="H25" s="60">
        <f t="shared" si="48"/>
        <v>368112543962.48529</v>
      </c>
      <c r="I25" s="60">
        <f t="shared" si="48"/>
        <v>132063305978.89804</v>
      </c>
      <c r="J25" s="60">
        <f t="shared" si="48"/>
        <v>89566236811.25441</v>
      </c>
      <c r="K25" s="60">
        <f t="shared" si="48"/>
        <v>17526377491.2075</v>
      </c>
      <c r="L25" s="60">
        <f t="shared" si="48"/>
        <v>561488862837.04565</v>
      </c>
      <c r="M25" s="60">
        <f t="shared" si="48"/>
        <v>336137162954.27905</v>
      </c>
      <c r="N25" s="60">
        <f t="shared" si="48"/>
        <v>27930832356.389214</v>
      </c>
      <c r="O25" s="60">
        <f t="shared" si="48"/>
        <v>3135990621.3364615</v>
      </c>
      <c r="P25" s="60">
        <f t="shared" si="48"/>
        <v>585550996483.00122</v>
      </c>
      <c r="Q25" s="60">
        <f t="shared" si="48"/>
        <v>349296600234.46655</v>
      </c>
      <c r="R25" s="60">
        <f t="shared" si="48"/>
        <v>133001172332.94254</v>
      </c>
      <c r="S25" s="60">
        <f t="shared" si="48"/>
        <v>132854630715.12308</v>
      </c>
      <c r="T25" s="60">
        <f t="shared" si="48"/>
        <v>292467760844.07977</v>
      </c>
      <c r="U25" s="60">
        <f t="shared" si="48"/>
        <v>232708089097.30365</v>
      </c>
      <c r="V25" s="60">
        <f t="shared" si="48"/>
        <v>22010550996.483002</v>
      </c>
      <c r="W25" s="60">
        <f t="shared" si="48"/>
        <v>117731535756.15475</v>
      </c>
      <c r="X25" s="60">
        <f t="shared" si="48"/>
        <v>95105509964.830017</v>
      </c>
      <c r="Y25" s="60">
        <f t="shared" si="48"/>
        <v>327989449003.51697</v>
      </c>
      <c r="Z25" s="60">
        <f t="shared" si="48"/>
        <v>144167643610.78546</v>
      </c>
      <c r="AA25" s="60">
        <f t="shared" si="48"/>
        <v>134437280187.57326</v>
      </c>
      <c r="AB25" s="60">
        <f t="shared" si="48"/>
        <v>277989449003.51703</v>
      </c>
      <c r="AC25" s="60">
        <f t="shared" si="48"/>
        <v>51524032825.322388</v>
      </c>
      <c r="AD25" s="60">
        <f t="shared" si="48"/>
        <v>100879249706.91678</v>
      </c>
      <c r="AE25" s="60">
        <f t="shared" si="48"/>
        <v>72831184056.271988</v>
      </c>
      <c r="AF25" s="60">
        <f t="shared" si="48"/>
        <v>52901524032.825325</v>
      </c>
      <c r="AG25" s="60">
        <f t="shared" si="48"/>
        <v>181125439624.85342</v>
      </c>
      <c r="AH25" s="60">
        <f t="shared" si="48"/>
        <v>105480656506.44785</v>
      </c>
      <c r="AI25" s="60">
        <f t="shared" si="48"/>
        <v>312250879249.70697</v>
      </c>
      <c r="AJ25" s="60">
        <f t="shared" si="48"/>
        <v>331975381008.2063</v>
      </c>
      <c r="AK25" s="60">
        <f t="shared" si="48"/>
        <v>89478311840.562729</v>
      </c>
      <c r="AL25" s="60">
        <f t="shared" si="48"/>
        <v>402520515826.49469</v>
      </c>
      <c r="AM25" s="60">
        <f t="shared" si="48"/>
        <v>187661195779.60138</v>
      </c>
      <c r="AN25" s="60">
        <f t="shared" si="48"/>
        <v>29484173505.275497</v>
      </c>
      <c r="AO25" s="60">
        <f t="shared" si="48"/>
        <v>637631887456.03748</v>
      </c>
      <c r="AP25" s="60">
        <f t="shared" si="48"/>
        <v>20252051582.649475</v>
      </c>
      <c r="AQ25" s="60">
        <f t="shared" si="48"/>
        <v>295926143024.61896</v>
      </c>
      <c r="AR25" s="60">
        <f t="shared" si="48"/>
        <v>8997655334.1148872</v>
      </c>
      <c r="AS25" s="60">
        <f t="shared" si="48"/>
        <v>211957796014.06799</v>
      </c>
      <c r="AT25" s="60">
        <f t="shared" si="48"/>
        <v>1051641266119.578</v>
      </c>
      <c r="AU25" s="60">
        <f t="shared" si="48"/>
        <v>111019929660.02342</v>
      </c>
      <c r="AV25" s="60">
        <f t="shared" si="48"/>
        <v>19226260257.91325</v>
      </c>
      <c r="AW25" s="60">
        <f t="shared" si="48"/>
        <v>190562719812.4267</v>
      </c>
      <c r="AX25" s="60">
        <f t="shared" si="48"/>
        <v>38716295427.901512</v>
      </c>
      <c r="AY25" s="60">
        <f t="shared" si="48"/>
        <v>223944900351.69986</v>
      </c>
      <c r="AZ25" s="60">
        <f t="shared" si="48"/>
        <v>175732708089.09729</v>
      </c>
      <c r="BA25" s="60">
        <f t="shared" si="48"/>
        <v>127667057444.31419</v>
      </c>
    </row>
    <row r="26" spans="1:53" x14ac:dyDescent="0.2">
      <c r="A26" s="72">
        <v>22</v>
      </c>
      <c r="B26" s="319" t="s">
        <v>877</v>
      </c>
      <c r="C26" s="210">
        <v>0.11</v>
      </c>
    </row>
    <row r="27" spans="1:53" x14ac:dyDescent="0.2">
      <c r="A27" s="72">
        <v>23</v>
      </c>
      <c r="B27" s="72" t="s">
        <v>793</v>
      </c>
      <c r="C27" s="84">
        <f>SUM(D27:BA27)/1000000000</f>
        <v>1129.9114888628371</v>
      </c>
      <c r="D27" s="302">
        <f>D25*$C26</f>
        <v>43619577960.140686</v>
      </c>
      <c r="E27" s="302">
        <f t="shared" ref="E27:BA27" si="49">E25*$C26</f>
        <v>1711899179.36694</v>
      </c>
      <c r="F27" s="302">
        <f t="shared" si="49"/>
        <v>31126905041.031654</v>
      </c>
      <c r="G27" s="302">
        <f t="shared" si="49"/>
        <v>18060375146.541615</v>
      </c>
      <c r="H27" s="302">
        <f t="shared" si="49"/>
        <v>40492379835.873383</v>
      </c>
      <c r="I27" s="302">
        <f t="shared" si="49"/>
        <v>14526963657.678785</v>
      </c>
      <c r="J27" s="302">
        <f t="shared" si="49"/>
        <v>9852286049.2379856</v>
      </c>
      <c r="K27" s="302">
        <f t="shared" si="49"/>
        <v>1927901524.032825</v>
      </c>
      <c r="L27" s="302">
        <f t="shared" si="49"/>
        <v>61763774912.07502</v>
      </c>
      <c r="M27" s="302">
        <f t="shared" si="49"/>
        <v>36975087924.970695</v>
      </c>
      <c r="N27" s="302">
        <f t="shared" si="49"/>
        <v>3072391559.2028136</v>
      </c>
      <c r="O27" s="302">
        <f t="shared" si="49"/>
        <v>344958968.34701079</v>
      </c>
      <c r="P27" s="302">
        <f t="shared" si="49"/>
        <v>64410609613.130135</v>
      </c>
      <c r="Q27" s="302">
        <f t="shared" si="49"/>
        <v>38422626025.791321</v>
      </c>
      <c r="R27" s="302">
        <f t="shared" si="49"/>
        <v>14630128956.623678</v>
      </c>
      <c r="S27" s="302">
        <f t="shared" si="49"/>
        <v>14614009378.663538</v>
      </c>
      <c r="T27" s="302">
        <f t="shared" si="49"/>
        <v>32171453692.848774</v>
      </c>
      <c r="U27" s="302">
        <f t="shared" si="49"/>
        <v>25597889800.703403</v>
      </c>
      <c r="V27" s="302">
        <f t="shared" si="49"/>
        <v>2421160609.6131301</v>
      </c>
      <c r="W27" s="302">
        <f t="shared" si="49"/>
        <v>12950468933.177023</v>
      </c>
      <c r="X27" s="302">
        <f t="shared" si="49"/>
        <v>10461606096.131302</v>
      </c>
      <c r="Y27" s="302">
        <f t="shared" si="49"/>
        <v>36078839390.386864</v>
      </c>
      <c r="Z27" s="302">
        <f t="shared" si="49"/>
        <v>15858440797.186401</v>
      </c>
      <c r="AA27" s="302">
        <f t="shared" si="49"/>
        <v>14788100820.633059</v>
      </c>
      <c r="AB27" s="302">
        <f t="shared" si="49"/>
        <v>30578839390.386875</v>
      </c>
      <c r="AC27" s="302">
        <f t="shared" si="49"/>
        <v>5667643610.7854624</v>
      </c>
      <c r="AD27" s="302">
        <f t="shared" si="49"/>
        <v>11096717467.760845</v>
      </c>
      <c r="AE27" s="302">
        <f t="shared" si="49"/>
        <v>8011430246.1899185</v>
      </c>
      <c r="AF27" s="302">
        <f t="shared" si="49"/>
        <v>5819167643.6107855</v>
      </c>
      <c r="AG27" s="302">
        <f t="shared" si="49"/>
        <v>19923798358.733875</v>
      </c>
      <c r="AH27" s="302">
        <f t="shared" si="49"/>
        <v>11602872215.709263</v>
      </c>
      <c r="AI27" s="302">
        <f t="shared" si="49"/>
        <v>34347596717.467766</v>
      </c>
      <c r="AJ27" s="302">
        <f t="shared" si="49"/>
        <v>36517291910.902695</v>
      </c>
      <c r="AK27" s="302">
        <f t="shared" si="49"/>
        <v>9842614302.4619007</v>
      </c>
      <c r="AL27" s="302">
        <f t="shared" si="49"/>
        <v>44277256740.914413</v>
      </c>
      <c r="AM27" s="302">
        <f t="shared" si="49"/>
        <v>20642731535.756153</v>
      </c>
      <c r="AN27" s="302">
        <f t="shared" si="49"/>
        <v>3243259085.5803046</v>
      </c>
      <c r="AO27" s="302">
        <f t="shared" si="49"/>
        <v>70139507620.164124</v>
      </c>
      <c r="AP27" s="302">
        <f t="shared" si="49"/>
        <v>2227725674.0914421</v>
      </c>
      <c r="AQ27" s="302">
        <f t="shared" si="49"/>
        <v>32551875732.708084</v>
      </c>
      <c r="AR27" s="302">
        <f t="shared" si="49"/>
        <v>989742086.75263762</v>
      </c>
      <c r="AS27" s="302">
        <f t="shared" si="49"/>
        <v>23315357561.547478</v>
      </c>
      <c r="AT27" s="302">
        <f t="shared" si="49"/>
        <v>115680539273.15358</v>
      </c>
      <c r="AU27" s="302">
        <f t="shared" si="49"/>
        <v>12212192262.602577</v>
      </c>
      <c r="AV27" s="302">
        <f t="shared" si="49"/>
        <v>2114888628.3704574</v>
      </c>
      <c r="AW27" s="302">
        <f t="shared" si="49"/>
        <v>20961899179.366936</v>
      </c>
      <c r="AX27" s="302">
        <f t="shared" si="49"/>
        <v>4258792497.0691662</v>
      </c>
      <c r="AY27" s="302">
        <f t="shared" si="49"/>
        <v>24633939038.686985</v>
      </c>
      <c r="AZ27" s="302">
        <f t="shared" si="49"/>
        <v>19330597889.800701</v>
      </c>
      <c r="BA27" s="302">
        <f t="shared" si="49"/>
        <v>14043376318.874561</v>
      </c>
    </row>
    <row r="28" spans="1:53" x14ac:dyDescent="0.2">
      <c r="A28" s="52"/>
      <c r="B28" s="52" t="s">
        <v>1052</v>
      </c>
      <c r="C28" s="52"/>
      <c r="D28">
        <f t="shared" ref="D28:AI28" si="50">RANK(D4,$D4:$BA4)</f>
        <v>12</v>
      </c>
      <c r="E28">
        <f t="shared" si="50"/>
        <v>39</v>
      </c>
      <c r="F28">
        <f t="shared" si="50"/>
        <v>20</v>
      </c>
      <c r="G28">
        <f t="shared" si="50"/>
        <v>29</v>
      </c>
      <c r="H28">
        <f t="shared" si="50"/>
        <v>2</v>
      </c>
      <c r="I28">
        <f t="shared" si="50"/>
        <v>24</v>
      </c>
      <c r="J28">
        <f t="shared" si="50"/>
        <v>37</v>
      </c>
      <c r="K28">
        <f t="shared" si="50"/>
        <v>48</v>
      </c>
      <c r="L28">
        <f t="shared" si="50"/>
        <v>5</v>
      </c>
      <c r="M28">
        <f t="shared" si="50"/>
        <v>11</v>
      </c>
      <c r="N28">
        <f t="shared" si="50"/>
        <v>45</v>
      </c>
      <c r="O28">
        <f t="shared" si="50"/>
        <v>46</v>
      </c>
      <c r="P28">
        <f t="shared" si="50"/>
        <v>4</v>
      </c>
      <c r="Q28">
        <f t="shared" si="50"/>
        <v>9</v>
      </c>
      <c r="R28">
        <f t="shared" si="50"/>
        <v>25</v>
      </c>
      <c r="S28">
        <f t="shared" si="50"/>
        <v>28</v>
      </c>
      <c r="T28">
        <f t="shared" si="50"/>
        <v>15</v>
      </c>
      <c r="U28">
        <f t="shared" si="50"/>
        <v>6</v>
      </c>
      <c r="V28">
        <f t="shared" si="50"/>
        <v>44</v>
      </c>
      <c r="W28">
        <f t="shared" si="50"/>
        <v>30</v>
      </c>
      <c r="X28">
        <f t="shared" si="50"/>
        <v>27</v>
      </c>
      <c r="Y28">
        <f t="shared" si="50"/>
        <v>10</v>
      </c>
      <c r="Z28">
        <f t="shared" si="50"/>
        <v>23</v>
      </c>
      <c r="AA28">
        <f t="shared" si="50"/>
        <v>31</v>
      </c>
      <c r="AB28">
        <f t="shared" si="50"/>
        <v>16</v>
      </c>
      <c r="AC28">
        <f t="shared" si="50"/>
        <v>42</v>
      </c>
      <c r="AD28">
        <f t="shared" si="50"/>
        <v>36</v>
      </c>
      <c r="AE28">
        <f t="shared" si="50"/>
        <v>41</v>
      </c>
      <c r="AF28">
        <f t="shared" si="50"/>
        <v>43</v>
      </c>
      <c r="AG28">
        <f t="shared" si="50"/>
        <v>14</v>
      </c>
      <c r="AH28">
        <f t="shared" si="50"/>
        <v>35</v>
      </c>
      <c r="AI28">
        <f t="shared" si="50"/>
        <v>8</v>
      </c>
      <c r="AJ28">
        <f t="shared" ref="AJ28:BA28" si="51">RANK(AJ4,$D4:$BA4)</f>
        <v>13</v>
      </c>
      <c r="AK28">
        <f t="shared" si="51"/>
        <v>38</v>
      </c>
      <c r="AL28">
        <f t="shared" si="51"/>
        <v>7</v>
      </c>
      <c r="AM28">
        <f t="shared" si="51"/>
        <v>21</v>
      </c>
      <c r="AN28">
        <f t="shared" si="51"/>
        <v>40</v>
      </c>
      <c r="AO28">
        <f t="shared" si="51"/>
        <v>3</v>
      </c>
      <c r="AP28">
        <f t="shared" si="51"/>
        <v>49</v>
      </c>
      <c r="AQ28">
        <f t="shared" si="51"/>
        <v>17</v>
      </c>
      <c r="AR28">
        <f t="shared" si="51"/>
        <v>47</v>
      </c>
      <c r="AS28">
        <f t="shared" si="51"/>
        <v>18</v>
      </c>
      <c r="AT28">
        <f t="shared" si="51"/>
        <v>1</v>
      </c>
      <c r="AU28">
        <f t="shared" si="51"/>
        <v>33</v>
      </c>
      <c r="AV28">
        <f t="shared" si="51"/>
        <v>50</v>
      </c>
      <c r="AW28">
        <f t="shared" si="51"/>
        <v>19</v>
      </c>
      <c r="AX28">
        <f t="shared" si="51"/>
        <v>32</v>
      </c>
      <c r="AY28">
        <f t="shared" si="51"/>
        <v>26</v>
      </c>
      <c r="AZ28">
        <f t="shared" si="51"/>
        <v>22</v>
      </c>
      <c r="BA28">
        <f t="shared" si="51"/>
        <v>34</v>
      </c>
    </row>
    <row r="29" spans="1:53" x14ac:dyDescent="0.2">
      <c r="A29" s="52"/>
      <c r="B29" s="52"/>
      <c r="C29" s="52">
        <f>C18/C26</f>
        <v>1381.4545454545455</v>
      </c>
    </row>
    <row r="30" spans="1:53" x14ac:dyDescent="0.2">
      <c r="A30" s="52"/>
      <c r="B30" s="436" t="s">
        <v>983</v>
      </c>
      <c r="C30" s="412" t="s">
        <v>989</v>
      </c>
      <c r="D30" s="412" t="s">
        <v>992</v>
      </c>
      <c r="E30" s="436" t="s">
        <v>990</v>
      </c>
      <c r="F30" s="412" t="s">
        <v>991</v>
      </c>
      <c r="H30" s="439"/>
    </row>
    <row r="31" spans="1:53" x14ac:dyDescent="0.2">
      <c r="A31" s="52"/>
      <c r="B31" s="437"/>
      <c r="C31" s="412">
        <v>151.96</v>
      </c>
      <c r="D31" s="412">
        <v>0.11</v>
      </c>
      <c r="E31" s="436">
        <v>119</v>
      </c>
      <c r="F31" s="412">
        <v>7.0000000000000007E-2</v>
      </c>
    </row>
    <row r="32" spans="1:53" x14ac:dyDescent="0.2">
      <c r="A32" s="52"/>
      <c r="B32" s="52"/>
      <c r="C32" s="52"/>
      <c r="E32" s="435">
        <v>42370</v>
      </c>
      <c r="F32" s="438">
        <v>42385</v>
      </c>
    </row>
    <row r="33" spans="1:53" x14ac:dyDescent="0.2">
      <c r="A33" s="52"/>
      <c r="B33" s="52"/>
      <c r="C33" s="52"/>
      <c r="E33" s="435"/>
      <c r="F33" s="438"/>
    </row>
    <row r="34" spans="1:53" x14ac:dyDescent="0.2">
      <c r="A34" s="52"/>
      <c r="B34" s="52" t="s">
        <v>1043</v>
      </c>
      <c r="C34" s="52"/>
      <c r="D34" s="461">
        <f>'GPI Summary'!D32</f>
        <v>4803689</v>
      </c>
      <c r="E34" s="461">
        <f>'GPI Summary'!E32</f>
        <v>723860</v>
      </c>
      <c r="F34" s="461">
        <f>'GPI Summary'!F32</f>
        <v>6467315</v>
      </c>
      <c r="G34" s="461">
        <f>'GPI Summary'!G32</f>
        <v>2938582</v>
      </c>
      <c r="H34" s="461">
        <f>'GPI Summary'!H32</f>
        <v>37683933</v>
      </c>
      <c r="I34" s="461">
        <f>'GPI Summary'!I32</f>
        <v>5116302</v>
      </c>
      <c r="J34" s="461">
        <f>'GPI Summary'!J32</f>
        <v>3586717</v>
      </c>
      <c r="K34" s="461">
        <f>'GPI Summary'!K32</f>
        <v>908137</v>
      </c>
      <c r="L34" s="461">
        <f>'GPI Summary'!L32</f>
        <v>19082262</v>
      </c>
      <c r="M34" s="461">
        <f>'GPI Summary'!M32</f>
        <v>9812460</v>
      </c>
      <c r="N34" s="461">
        <f>'GPI Summary'!N32</f>
        <v>1378129</v>
      </c>
      <c r="O34" s="461">
        <f>'GPI Summary'!O32</f>
        <v>1583744</v>
      </c>
      <c r="P34" s="461">
        <f>'GPI Summary'!P32</f>
        <v>12859752</v>
      </c>
      <c r="Q34" s="461">
        <f>'GPI Summary'!Q32</f>
        <v>6516353</v>
      </c>
      <c r="R34" s="461">
        <f>'GPI Summary'!R32</f>
        <v>3064097</v>
      </c>
      <c r="S34" s="461">
        <f>'GPI Summary'!S32</f>
        <v>2870386</v>
      </c>
      <c r="T34" s="461">
        <f>'GPI Summary'!T32</f>
        <v>4366814</v>
      </c>
      <c r="U34" s="461">
        <f>'GPI Summary'!U32</f>
        <v>4574766</v>
      </c>
      <c r="V34" s="461">
        <f>'GPI Summary'!V32</f>
        <v>1328544</v>
      </c>
      <c r="W34" s="461">
        <f>'GPI Summary'!W32</f>
        <v>5839572</v>
      </c>
      <c r="X34" s="461">
        <f>'GPI Summary'!X32</f>
        <v>6607003</v>
      </c>
      <c r="Y34" s="461">
        <f>'GPI Summary'!Y32</f>
        <v>9876801</v>
      </c>
      <c r="Z34" s="461">
        <f>'GPI Summary'!Z32</f>
        <v>5347299</v>
      </c>
      <c r="AA34" s="461">
        <f>'GPI Summary'!AA32</f>
        <v>2977457</v>
      </c>
      <c r="AB34" s="461">
        <f>'GPI Summary'!AB32</f>
        <v>6008984</v>
      </c>
      <c r="AC34" s="461">
        <f>'GPI Summary'!AC32</f>
        <v>997667</v>
      </c>
      <c r="AD34" s="461">
        <f>'GPI Summary'!AD32</f>
        <v>1842234</v>
      </c>
      <c r="AE34" s="461">
        <f>'GPI Summary'!AE32</f>
        <v>2720028</v>
      </c>
      <c r="AF34" s="461">
        <f>'GPI Summary'!AF32</f>
        <v>1317807</v>
      </c>
      <c r="AG34" s="461">
        <f>'GPI Summary'!AG32</f>
        <v>8834773</v>
      </c>
      <c r="AH34" s="461">
        <f>'GPI Summary'!AH32</f>
        <v>2078674</v>
      </c>
      <c r="AI34" s="461">
        <f>'GPI Summary'!AI32</f>
        <v>19501616</v>
      </c>
      <c r="AJ34" s="461">
        <f>'GPI Summary'!AJ32</f>
        <v>9651103</v>
      </c>
      <c r="AK34" s="461">
        <f>'GPI Summary'!AK32</f>
        <v>684740</v>
      </c>
      <c r="AL34" s="461">
        <f>'GPI Summary'!AL32</f>
        <v>11541007</v>
      </c>
      <c r="AM34" s="461">
        <f>'GPI Summary'!AM32</f>
        <v>3784163</v>
      </c>
      <c r="AN34" s="461">
        <f>'GPI Summary'!AN32</f>
        <v>3868229</v>
      </c>
      <c r="AO34" s="461">
        <f>'GPI Summary'!AO32</f>
        <v>12743948</v>
      </c>
      <c r="AP34" s="461">
        <f>'GPI Summary'!AP32</f>
        <v>1050646</v>
      </c>
      <c r="AQ34" s="461">
        <f>'GPI Summary'!AQ32</f>
        <v>4673348</v>
      </c>
      <c r="AR34" s="461">
        <f>'GPI Summary'!AR32</f>
        <v>823593</v>
      </c>
      <c r="AS34" s="461">
        <f>'GPI Summary'!AS32</f>
        <v>6399787</v>
      </c>
      <c r="AT34" s="461">
        <f>'GPI Summary'!AT32</f>
        <v>25631778</v>
      </c>
      <c r="AU34" s="461">
        <f>'GPI Summary'!AU32</f>
        <v>2814347</v>
      </c>
      <c r="AV34" s="461">
        <f>'GPI Summary'!AV32</f>
        <v>626592</v>
      </c>
      <c r="AW34" s="461">
        <f>'GPI Summary'!AW32</f>
        <v>8104384</v>
      </c>
      <c r="AX34" s="461">
        <f>'GPI Summary'!AX32</f>
        <v>6823267</v>
      </c>
      <c r="AY34" s="461">
        <f>'GPI Summary'!AY32</f>
        <v>1854908</v>
      </c>
      <c r="AZ34" s="461">
        <f>'GPI Summary'!AZ32</f>
        <v>5709843</v>
      </c>
      <c r="BA34" s="461">
        <f>'GPI Summary'!BA32</f>
        <v>567356</v>
      </c>
    </row>
    <row r="35" spans="1:53" x14ac:dyDescent="0.2">
      <c r="A35" s="52"/>
      <c r="B35" s="52"/>
      <c r="C35" s="52"/>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1"/>
      <c r="AO35" s="461"/>
      <c r="AP35" s="461"/>
      <c r="AQ35" s="461"/>
      <c r="AR35" s="461"/>
      <c r="AS35" s="461"/>
      <c r="AT35" s="461"/>
      <c r="AU35" s="461"/>
      <c r="AV35" s="461"/>
      <c r="AW35" s="461"/>
      <c r="AX35" s="461"/>
      <c r="AY35" s="461"/>
      <c r="AZ35" s="461"/>
      <c r="BA35" s="461"/>
    </row>
    <row r="36" spans="1:53" x14ac:dyDescent="0.2">
      <c r="A36" s="52"/>
      <c r="B36" s="465" t="s">
        <v>1050</v>
      </c>
      <c r="C36" s="52"/>
      <c r="D36" s="3" t="s">
        <v>39</v>
      </c>
      <c r="E36" s="3" t="s">
        <v>40</v>
      </c>
      <c r="F36" s="3" t="s">
        <v>41</v>
      </c>
      <c r="G36" s="3" t="s">
        <v>42</v>
      </c>
      <c r="H36" s="3" t="s">
        <v>43</v>
      </c>
      <c r="I36" s="3" t="s">
        <v>44</v>
      </c>
      <c r="J36" s="3" t="s">
        <v>45</v>
      </c>
      <c r="K36" s="3" t="s">
        <v>46</v>
      </c>
      <c r="L36" s="3" t="s">
        <v>47</v>
      </c>
      <c r="M36" s="3" t="s">
        <v>48</v>
      </c>
      <c r="N36" s="3" t="s">
        <v>49</v>
      </c>
      <c r="O36" s="3" t="s">
        <v>50</v>
      </c>
      <c r="P36" s="3" t="s">
        <v>51</v>
      </c>
      <c r="Q36" s="3" t="s">
        <v>52</v>
      </c>
      <c r="R36" s="3" t="s">
        <v>53</v>
      </c>
      <c r="S36" s="3" t="s">
        <v>54</v>
      </c>
      <c r="T36" s="3" t="s">
        <v>55</v>
      </c>
      <c r="U36" s="3" t="s">
        <v>56</v>
      </c>
      <c r="V36" s="3" t="s">
        <v>57</v>
      </c>
      <c r="W36" s="3" t="s">
        <v>58</v>
      </c>
      <c r="X36" s="3" t="s">
        <v>59</v>
      </c>
      <c r="Y36" s="3" t="s">
        <v>60</v>
      </c>
      <c r="Z36" s="3" t="s">
        <v>61</v>
      </c>
      <c r="AA36" s="3" t="s">
        <v>62</v>
      </c>
      <c r="AB36" s="3" t="s">
        <v>63</v>
      </c>
      <c r="AC36" s="3" t="s">
        <v>64</v>
      </c>
      <c r="AD36" s="3" t="s">
        <v>65</v>
      </c>
      <c r="AE36" s="3" t="s">
        <v>66</v>
      </c>
      <c r="AF36" s="3" t="s">
        <v>67</v>
      </c>
      <c r="AG36" s="3" t="s">
        <v>68</v>
      </c>
      <c r="AH36" s="3" t="s">
        <v>69</v>
      </c>
      <c r="AI36" s="3" t="s">
        <v>70</v>
      </c>
      <c r="AJ36" s="3" t="s">
        <v>71</v>
      </c>
      <c r="AK36" s="3" t="s">
        <v>72</v>
      </c>
      <c r="AL36" s="3" t="s">
        <v>73</v>
      </c>
      <c r="AM36" s="3" t="s">
        <v>74</v>
      </c>
      <c r="AN36" s="3" t="s">
        <v>75</v>
      </c>
      <c r="AO36" s="3" t="s">
        <v>76</v>
      </c>
      <c r="AP36" s="3" t="s">
        <v>77</v>
      </c>
      <c r="AQ36" s="3" t="s">
        <v>78</v>
      </c>
      <c r="AR36" s="3" t="s">
        <v>79</v>
      </c>
      <c r="AS36" s="3" t="s">
        <v>80</v>
      </c>
      <c r="AT36" s="3" t="s">
        <v>81</v>
      </c>
      <c r="AU36" s="3" t="s">
        <v>82</v>
      </c>
      <c r="AV36" s="3" t="s">
        <v>83</v>
      </c>
      <c r="AW36" s="3" t="s">
        <v>84</v>
      </c>
      <c r="AX36" s="3" t="s">
        <v>85</v>
      </c>
      <c r="AY36" s="3" t="s">
        <v>86</v>
      </c>
      <c r="AZ36" s="3" t="s">
        <v>87</v>
      </c>
      <c r="BA36" s="3" t="s">
        <v>88</v>
      </c>
    </row>
    <row r="37" spans="1:53" x14ac:dyDescent="0.2">
      <c r="A37" s="468"/>
      <c r="B37" s="83" t="s">
        <v>868</v>
      </c>
      <c r="C37" s="462"/>
      <c r="D37" s="461">
        <f t="shared" ref="D37:AH37" si="52">D14/D$34</f>
        <v>2.3293879292380901</v>
      </c>
      <c r="E37" s="461">
        <f t="shared" si="52"/>
        <v>2.262773235822892</v>
      </c>
      <c r="F37" s="461">
        <f t="shared" si="52"/>
        <v>0.26659253972235508</v>
      </c>
      <c r="G37" s="461">
        <f t="shared" si="52"/>
        <v>0.32856569644111017</v>
      </c>
      <c r="H37" s="461">
        <f t="shared" si="52"/>
        <v>0.1628792577060032</v>
      </c>
      <c r="I37" s="461">
        <f t="shared" si="52"/>
        <v>0.21904290543685923</v>
      </c>
      <c r="J37" s="461">
        <f t="shared" si="52"/>
        <v>0</v>
      </c>
      <c r="K37" s="461">
        <f t="shared" si="52"/>
        <v>0</v>
      </c>
      <c r="L37" s="461">
        <f t="shared" si="52"/>
        <v>0.11384466857773193</v>
      </c>
      <c r="M37" s="461">
        <f t="shared" si="52"/>
        <v>0.51834166932163028</v>
      </c>
      <c r="N37" s="461">
        <f t="shared" si="52"/>
        <v>0.16263929649146253</v>
      </c>
      <c r="O37" s="461">
        <f t="shared" si="52"/>
        <v>0.84914455000738531</v>
      </c>
      <c r="P37" s="461">
        <f t="shared" si="52"/>
        <v>1.5270847396188323</v>
      </c>
      <c r="Q37" s="461">
        <f t="shared" si="52"/>
        <v>6.3844681643032644</v>
      </c>
      <c r="R37" s="461">
        <f t="shared" si="52"/>
        <v>4.2764469518628392</v>
      </c>
      <c r="S37" s="461">
        <f t="shared" si="52"/>
        <v>0.15016603437956452</v>
      </c>
      <c r="T37" s="461">
        <f t="shared" si="52"/>
        <v>1.9346543869441122</v>
      </c>
      <c r="U37" s="461">
        <f t="shared" si="52"/>
        <v>4.8994403437133779E-2</v>
      </c>
      <c r="V37" s="461">
        <f t="shared" si="52"/>
        <v>6.4888251011426146E-2</v>
      </c>
      <c r="W37" s="461">
        <f t="shared" si="52"/>
        <v>0.65840914132181205</v>
      </c>
      <c r="X37" s="461">
        <f t="shared" si="52"/>
        <v>4.4362542029398516E-2</v>
      </c>
      <c r="Y37" s="461">
        <f t="shared" si="52"/>
        <v>1.2341703728174529</v>
      </c>
      <c r="Z37" s="461">
        <f t="shared" si="52"/>
        <v>0.81897614942190178</v>
      </c>
      <c r="AA37" s="461">
        <f t="shared" si="52"/>
        <v>0.15055661998442479</v>
      </c>
      <c r="AB37" s="461">
        <f t="shared" si="52"/>
        <v>0.43612857933594323</v>
      </c>
      <c r="AC37" s="461">
        <f t="shared" si="52"/>
        <v>0.25922546265955715</v>
      </c>
      <c r="AD37" s="461">
        <f t="shared" si="52"/>
        <v>1.7875598041702967</v>
      </c>
      <c r="AE37" s="461">
        <f t="shared" si="52"/>
        <v>0.15846692856052241</v>
      </c>
      <c r="AF37" s="461">
        <f t="shared" si="52"/>
        <v>0</v>
      </c>
      <c r="AG37" s="461">
        <f t="shared" si="52"/>
        <v>0</v>
      </c>
      <c r="AH37" s="461">
        <f t="shared" si="52"/>
        <v>4.1472061781560814E-2</v>
      </c>
      <c r="AI37" s="461">
        <f t="shared" ref="AI37:BA37" si="53">AI14/AI$34</f>
        <v>0.22986600806259619</v>
      </c>
      <c r="AJ37" s="461">
        <f t="shared" si="53"/>
        <v>0.43053860411531236</v>
      </c>
      <c r="AK37" s="461">
        <f t="shared" si="53"/>
        <v>23.744225092232337</v>
      </c>
      <c r="AL37" s="461">
        <f t="shared" si="53"/>
        <v>1.7912140416432856</v>
      </c>
      <c r="AM37" s="461">
        <f t="shared" si="53"/>
        <v>0.53763084693251573</v>
      </c>
      <c r="AN37" s="461">
        <f t="shared" si="53"/>
        <v>8.0229176604127345E-2</v>
      </c>
      <c r="AO37" s="461">
        <f t="shared" si="53"/>
        <v>2.4974667353395157</v>
      </c>
      <c r="AP37" s="461">
        <f t="shared" si="53"/>
        <v>0</v>
      </c>
      <c r="AQ37" s="461">
        <f t="shared" si="53"/>
        <v>0.85960672719222808</v>
      </c>
      <c r="AR37" s="461">
        <f t="shared" si="53"/>
        <v>0.64896466898175387</v>
      </c>
      <c r="AS37" s="461">
        <f t="shared" si="53"/>
        <v>1.8508159078117594</v>
      </c>
      <c r="AT37" s="461">
        <f t="shared" si="53"/>
        <v>0.13251330922645832</v>
      </c>
      <c r="AU37" s="461">
        <f t="shared" si="53"/>
        <v>0.84542181359568891</v>
      </c>
      <c r="AV37" s="461">
        <f t="shared" si="53"/>
        <v>0</v>
      </c>
      <c r="AW37" s="461">
        <f t="shared" si="53"/>
        <v>1.5466299176619334</v>
      </c>
      <c r="AX37" s="461">
        <f t="shared" si="53"/>
        <v>4.8010169746626023E-2</v>
      </c>
      <c r="AY37" s="461">
        <f t="shared" si="53"/>
        <v>5.8837382249945955</v>
      </c>
      <c r="AZ37" s="461">
        <f t="shared" si="53"/>
        <v>1.114228353654775</v>
      </c>
      <c r="BA37" s="461">
        <f t="shared" si="53"/>
        <v>10.058757731872294</v>
      </c>
    </row>
    <row r="38" spans="1:53" x14ac:dyDescent="0.2">
      <c r="A38" s="468"/>
      <c r="B38" s="83" t="s">
        <v>869</v>
      </c>
      <c r="C38" s="462"/>
      <c r="D38" s="461">
        <f t="shared" ref="D38:AH38" si="54">D15/D$34</f>
        <v>9.5257250603973667</v>
      </c>
      <c r="E38" s="461">
        <f t="shared" si="54"/>
        <v>70.193607641790123</v>
      </c>
      <c r="F38" s="461">
        <f t="shared" si="54"/>
        <v>2.9271860861514583</v>
      </c>
      <c r="G38" s="461">
        <f t="shared" si="54"/>
        <v>10.525836775274135</v>
      </c>
      <c r="H38" s="461">
        <f t="shared" si="54"/>
        <v>7.1671448650689333</v>
      </c>
      <c r="I38" s="461">
        <f t="shared" si="54"/>
        <v>13.088656072565559</v>
      </c>
      <c r="J38" s="461">
        <f t="shared" si="54"/>
        <v>6.0183747132967902</v>
      </c>
      <c r="K38" s="461">
        <f t="shared" si="54"/>
        <v>7.9548987994481921</v>
      </c>
      <c r="L38" s="461">
        <f t="shared" si="54"/>
        <v>1.6010535930138174</v>
      </c>
      <c r="M38" s="461">
        <f t="shared" si="54"/>
        <v>5.8282688716605007</v>
      </c>
      <c r="N38" s="461">
        <f t="shared" si="54"/>
        <v>2.5021430229455771E-2</v>
      </c>
      <c r="O38" s="461">
        <f t="shared" si="54"/>
        <v>8.2192837853278977</v>
      </c>
      <c r="P38" s="461">
        <f t="shared" si="54"/>
        <v>12.575991973331559</v>
      </c>
      <c r="Q38" s="461">
        <f t="shared" si="54"/>
        <v>14.525789565696195</v>
      </c>
      <c r="R38" s="461">
        <f t="shared" si="54"/>
        <v>15.057594793664418</v>
      </c>
      <c r="S38" s="461">
        <f t="shared" si="54"/>
        <v>15.232842527463026</v>
      </c>
      <c r="T38" s="461">
        <f t="shared" si="54"/>
        <v>8.3979793490410746</v>
      </c>
      <c r="U38" s="461">
        <f t="shared" si="54"/>
        <v>45.334898380406329</v>
      </c>
      <c r="V38" s="461">
        <f t="shared" si="54"/>
        <v>5.0223506282843839</v>
      </c>
      <c r="W38" s="461">
        <f t="shared" si="54"/>
        <v>5.2407005643328084</v>
      </c>
      <c r="X38" s="461">
        <f t="shared" si="54"/>
        <v>6.9936242728698828</v>
      </c>
      <c r="Y38" s="461">
        <f t="shared" si="54"/>
        <v>11.744693448820119</v>
      </c>
      <c r="Z38" s="461">
        <f t="shared" si="54"/>
        <v>12.784411151408822</v>
      </c>
      <c r="AA38" s="461">
        <f t="shared" si="54"/>
        <v>11.216468188839649</v>
      </c>
      <c r="AB38" s="461">
        <f t="shared" si="54"/>
        <v>6.7858163824309594</v>
      </c>
      <c r="AC38" s="461">
        <f t="shared" si="54"/>
        <v>12.909428040445947</v>
      </c>
      <c r="AD38" s="461">
        <f t="shared" si="54"/>
        <v>15.854064441175302</v>
      </c>
      <c r="AE38" s="461">
        <f t="shared" si="54"/>
        <v>5.6794547196091241</v>
      </c>
      <c r="AF38" s="461">
        <f t="shared" si="54"/>
        <v>3.0353458435112275</v>
      </c>
      <c r="AG38" s="461">
        <f t="shared" si="54"/>
        <v>9.2229600716045184</v>
      </c>
      <c r="AH38" s="461">
        <f t="shared" si="54"/>
        <v>14.672815458316215</v>
      </c>
      <c r="AI38" s="461">
        <f t="shared" ref="AI38:BA38" si="55">AI15/AI$34</f>
        <v>7.101975549103213</v>
      </c>
      <c r="AJ38" s="461">
        <f t="shared" si="55"/>
        <v>3.9480925937545241</v>
      </c>
      <c r="AK38" s="461">
        <f t="shared" si="55"/>
        <v>18.154386311240209</v>
      </c>
      <c r="AL38" s="461">
        <f t="shared" si="55"/>
        <v>11.205918704225425</v>
      </c>
      <c r="AM38" s="461">
        <f t="shared" si="55"/>
        <v>18.375128861685052</v>
      </c>
      <c r="AN38" s="461">
        <f t="shared" si="55"/>
        <v>6.3470193046820738</v>
      </c>
      <c r="AO38" s="461">
        <f t="shared" si="55"/>
        <v>9.2484737826548908</v>
      </c>
      <c r="AP38" s="461">
        <f t="shared" si="55"/>
        <v>6.1046185903227874</v>
      </c>
      <c r="AQ38" s="461">
        <f t="shared" si="55"/>
        <v>4.8772536195198519</v>
      </c>
      <c r="AR38" s="461">
        <f t="shared" si="55"/>
        <v>15.156465172348058</v>
      </c>
      <c r="AS38" s="461">
        <f t="shared" si="55"/>
        <v>6.2529020699142563</v>
      </c>
      <c r="AT38" s="461">
        <f t="shared" si="55"/>
        <v>15.288807134051629</v>
      </c>
      <c r="AU38" s="461">
        <f t="shared" si="55"/>
        <v>11.590855589297416</v>
      </c>
      <c r="AV38" s="461">
        <f t="shared" si="55"/>
        <v>2.366386134342052</v>
      </c>
      <c r="AW38" s="461">
        <f t="shared" si="55"/>
        <v>5.0398435693825583</v>
      </c>
      <c r="AX38" s="461">
        <f t="shared" si="55"/>
        <v>5.8572407090883756</v>
      </c>
      <c r="AY38" s="461">
        <f t="shared" si="55"/>
        <v>11.358496225818952</v>
      </c>
      <c r="AZ38" s="461">
        <f t="shared" si="55"/>
        <v>10.595737921340394</v>
      </c>
      <c r="BA38" s="461">
        <f t="shared" si="55"/>
        <v>49.047839816440735</v>
      </c>
    </row>
    <row r="39" spans="1:53" x14ac:dyDescent="0.2">
      <c r="A39" s="468"/>
      <c r="B39" s="83" t="s">
        <v>870</v>
      </c>
      <c r="C39" s="462"/>
      <c r="D39" s="461">
        <f t="shared" ref="D39:AH39" si="56">D16/D$34</f>
        <v>19.683148542283032</v>
      </c>
      <c r="E39" s="461">
        <f t="shared" si="56"/>
        <v>62.476359974352064</v>
      </c>
      <c r="F39" s="461">
        <f t="shared" si="56"/>
        <v>13.337624762309424</v>
      </c>
      <c r="G39" s="461">
        <f t="shared" si="56"/>
        <v>19.661136585252859</v>
      </c>
      <c r="H39" s="461">
        <f t="shared" si="56"/>
        <v>15.529805180659737</v>
      </c>
      <c r="I39" s="461">
        <f t="shared" si="56"/>
        <v>15.926104170686106</v>
      </c>
      <c r="J39" s="461">
        <f t="shared" si="56"/>
        <v>15.084392851697546</v>
      </c>
      <c r="K39" s="461">
        <f t="shared" si="56"/>
        <v>19.194278487451363</v>
      </c>
      <c r="L39" s="461">
        <f t="shared" si="56"/>
        <v>14.241425921604849</v>
      </c>
      <c r="M39" s="461">
        <f t="shared" si="56"/>
        <v>17.493592067003902</v>
      </c>
      <c r="N39" s="461">
        <f t="shared" si="56"/>
        <v>21.080554968316488</v>
      </c>
      <c r="O39" s="461">
        <f t="shared" si="56"/>
        <v>17.559873835409135</v>
      </c>
      <c r="P39" s="461">
        <f t="shared" si="56"/>
        <v>16.094051988046061</v>
      </c>
      <c r="Q39" s="461">
        <f t="shared" si="56"/>
        <v>19.931288305717569</v>
      </c>
      <c r="R39" s="461">
        <f t="shared" si="56"/>
        <v>23.678011543998455</v>
      </c>
      <c r="S39" s="461">
        <f t="shared" si="56"/>
        <v>23.858379542225212</v>
      </c>
      <c r="T39" s="461">
        <f t="shared" si="56"/>
        <v>23.519869761277704</v>
      </c>
      <c r="U39" s="461">
        <f t="shared" si="56"/>
        <v>70.009233711399773</v>
      </c>
      <c r="V39" s="461">
        <f t="shared" si="56"/>
        <v>24.527758882319084</v>
      </c>
      <c r="W39" s="461">
        <f t="shared" si="56"/>
        <v>14.045077512411927</v>
      </c>
      <c r="X39" s="461">
        <f t="shared" si="56"/>
        <v>14.822308160410799</v>
      </c>
      <c r="Y39" s="461">
        <f t="shared" si="56"/>
        <v>13.375125030448833</v>
      </c>
      <c r="Z39" s="461">
        <f t="shared" si="56"/>
        <v>19.436174128800097</v>
      </c>
      <c r="AA39" s="461">
        <f t="shared" si="56"/>
        <v>23.660551894475375</v>
      </c>
      <c r="AB39" s="461">
        <f t="shared" si="56"/>
        <v>18.397739807250449</v>
      </c>
      <c r="AC39" s="461">
        <f t="shared" si="56"/>
        <v>28.307420522423641</v>
      </c>
      <c r="AD39" s="461">
        <f t="shared" si="56"/>
        <v>21.937383146466885</v>
      </c>
      <c r="AE39" s="461">
        <f t="shared" si="56"/>
        <v>13.146416393380939</v>
      </c>
      <c r="AF39" s="461">
        <f t="shared" si="56"/>
        <v>19.324162977871048</v>
      </c>
      <c r="AG39" s="461">
        <f t="shared" si="56"/>
        <v>21.353709078183797</v>
      </c>
      <c r="AH39" s="461">
        <f t="shared" si="56"/>
        <v>20.877035900837711</v>
      </c>
      <c r="AI39" s="461">
        <f t="shared" ref="AI39:BA39" si="57">AI16/AI$34</f>
        <v>10.998204385764218</v>
      </c>
      <c r="AJ39" s="461">
        <f t="shared" si="57"/>
        <v>13.945163251967339</v>
      </c>
      <c r="AK39" s="461">
        <f t="shared" si="57"/>
        <v>46.103580216200868</v>
      </c>
      <c r="AL39" s="461">
        <f t="shared" si="57"/>
        <v>17.044170976737483</v>
      </c>
      <c r="AM39" s="461">
        <f t="shared" si="57"/>
        <v>24.166050950254778</v>
      </c>
      <c r="AN39" s="461">
        <f t="shared" si="57"/>
        <v>15.105371083965975</v>
      </c>
      <c r="AO39" s="461">
        <f t="shared" si="57"/>
        <v>16.449998935532594</v>
      </c>
      <c r="AP39" s="461">
        <f t="shared" si="57"/>
        <v>12.996929901977548</v>
      </c>
      <c r="AQ39" s="461">
        <f t="shared" si="57"/>
        <v>17.782422425178282</v>
      </c>
      <c r="AR39" s="461">
        <f t="shared" si="57"/>
        <v>24.346642258896122</v>
      </c>
      <c r="AS39" s="461">
        <f t="shared" si="57"/>
        <v>18.556652071335371</v>
      </c>
      <c r="AT39" s="461">
        <f t="shared" si="57"/>
        <v>39.238737971655937</v>
      </c>
      <c r="AU39" s="461">
        <f t="shared" si="57"/>
        <v>17.453672079232735</v>
      </c>
      <c r="AV39" s="461">
        <f t="shared" si="57"/>
        <v>21.242442973396098</v>
      </c>
      <c r="AW39" s="461">
        <f t="shared" si="57"/>
        <v>16.051338003795443</v>
      </c>
      <c r="AX39" s="461">
        <f t="shared" si="57"/>
        <v>18.291874673464516</v>
      </c>
      <c r="AY39" s="461">
        <f t="shared" si="57"/>
        <v>17.325889496666552</v>
      </c>
      <c r="AZ39" s="461">
        <f t="shared" si="57"/>
        <v>15.559942293721019</v>
      </c>
      <c r="BA39" s="461">
        <f t="shared" si="57"/>
        <v>49.989898697673489</v>
      </c>
    </row>
    <row r="40" spans="1:53" x14ac:dyDescent="0.2">
      <c r="A40" s="52"/>
      <c r="B40" s="214" t="s">
        <v>1044</v>
      </c>
      <c r="C40" s="462"/>
      <c r="D40" s="461">
        <f t="shared" ref="D40:AH40" si="58">D17/D$34</f>
        <v>31.53826153191849</v>
      </c>
      <c r="E40" s="461">
        <f t="shared" si="58"/>
        <v>134.93274085196509</v>
      </c>
      <c r="F40" s="461">
        <f t="shared" si="58"/>
        <v>16.531403388183236</v>
      </c>
      <c r="G40" s="461">
        <f t="shared" si="58"/>
        <v>30.515539056968102</v>
      </c>
      <c r="H40" s="461">
        <f t="shared" si="58"/>
        <v>22.859829303434672</v>
      </c>
      <c r="I40" s="461">
        <f t="shared" si="58"/>
        <v>29.233803148688523</v>
      </c>
      <c r="J40" s="461">
        <f t="shared" si="58"/>
        <v>21.102767564994338</v>
      </c>
      <c r="K40" s="461">
        <f t="shared" si="58"/>
        <v>27.149177286899555</v>
      </c>
      <c r="L40" s="461">
        <f t="shared" si="58"/>
        <v>15.956324183196399</v>
      </c>
      <c r="M40" s="461">
        <f t="shared" si="58"/>
        <v>23.840202607986033</v>
      </c>
      <c r="N40" s="461">
        <f t="shared" si="58"/>
        <v>21.268215695037409</v>
      </c>
      <c r="O40" s="461">
        <f t="shared" si="58"/>
        <v>26.628302170744419</v>
      </c>
      <c r="P40" s="461">
        <f t="shared" si="58"/>
        <v>30.197128700996455</v>
      </c>
      <c r="Q40" s="461">
        <f t="shared" si="58"/>
        <v>40.84154603571703</v>
      </c>
      <c r="R40" s="461">
        <f t="shared" si="58"/>
        <v>43.01205328952571</v>
      </c>
      <c r="S40" s="461">
        <f t="shared" si="58"/>
        <v>39.241388104067802</v>
      </c>
      <c r="T40" s="461">
        <f t="shared" si="58"/>
        <v>33.852503497262887</v>
      </c>
      <c r="U40" s="461">
        <f t="shared" si="58"/>
        <v>115.39312649524324</v>
      </c>
      <c r="V40" s="461">
        <f t="shared" si="58"/>
        <v>29.614997761614895</v>
      </c>
      <c r="W40" s="461">
        <f t="shared" si="58"/>
        <v>19.944187218066549</v>
      </c>
      <c r="X40" s="461">
        <f t="shared" si="58"/>
        <v>21.860294975310083</v>
      </c>
      <c r="Y40" s="461">
        <f t="shared" si="58"/>
        <v>26.353988852086406</v>
      </c>
      <c r="Z40" s="461">
        <f t="shared" si="58"/>
        <v>33.039561429630822</v>
      </c>
      <c r="AA40" s="461">
        <f t="shared" si="58"/>
        <v>35.027576703299445</v>
      </c>
      <c r="AB40" s="461">
        <f t="shared" si="58"/>
        <v>25.619684769017351</v>
      </c>
      <c r="AC40" s="461">
        <f t="shared" si="58"/>
        <v>41.476074025529144</v>
      </c>
      <c r="AD40" s="461">
        <f t="shared" si="58"/>
        <v>39.579007391812482</v>
      </c>
      <c r="AE40" s="461">
        <f t="shared" si="58"/>
        <v>18.984338041550586</v>
      </c>
      <c r="AF40" s="461">
        <f t="shared" si="58"/>
        <v>22.359508821382274</v>
      </c>
      <c r="AG40" s="461">
        <f t="shared" si="58"/>
        <v>30.576669149788316</v>
      </c>
      <c r="AH40" s="461">
        <f t="shared" si="58"/>
        <v>35.591323420935488</v>
      </c>
      <c r="AI40" s="461">
        <f t="shared" ref="AI40:BA40" si="59">AI17/AI$34</f>
        <v>18.330045942930028</v>
      </c>
      <c r="AJ40" s="461">
        <f t="shared" si="59"/>
        <v>18.323794449837177</v>
      </c>
      <c r="AK40" s="461">
        <f t="shared" si="59"/>
        <v>88.002191619673411</v>
      </c>
      <c r="AL40" s="461">
        <f t="shared" si="59"/>
        <v>30.041303722606195</v>
      </c>
      <c r="AM40" s="461">
        <f t="shared" si="59"/>
        <v>43.078810658872349</v>
      </c>
      <c r="AN40" s="461">
        <f t="shared" si="59"/>
        <v>21.532619565252176</v>
      </c>
      <c r="AO40" s="461">
        <f t="shared" si="59"/>
        <v>28.195939453527004</v>
      </c>
      <c r="AP40" s="461">
        <f t="shared" si="59"/>
        <v>19.101548492300338</v>
      </c>
      <c r="AQ40" s="461">
        <f t="shared" si="59"/>
        <v>23.51928277189036</v>
      </c>
      <c r="AR40" s="461">
        <f t="shared" si="59"/>
        <v>40.152072100225936</v>
      </c>
      <c r="AS40" s="461">
        <f t="shared" si="59"/>
        <v>26.660370049061385</v>
      </c>
      <c r="AT40" s="461">
        <f t="shared" si="59"/>
        <v>54.660058414934021</v>
      </c>
      <c r="AU40" s="461">
        <f t="shared" si="59"/>
        <v>29.889949482125839</v>
      </c>
      <c r="AV40" s="461">
        <f t="shared" si="59"/>
        <v>23.608829107738149</v>
      </c>
      <c r="AW40" s="461">
        <f t="shared" si="59"/>
        <v>22.637811490839937</v>
      </c>
      <c r="AX40" s="461">
        <f t="shared" si="59"/>
        <v>24.197125552299518</v>
      </c>
      <c r="AY40" s="461">
        <f t="shared" si="59"/>
        <v>34.568123947480096</v>
      </c>
      <c r="AZ40" s="461">
        <f t="shared" si="59"/>
        <v>27.269908568716186</v>
      </c>
      <c r="BA40" s="464">
        <f t="shared" si="59"/>
        <v>109.09649624598653</v>
      </c>
    </row>
    <row r="41" spans="1:53" x14ac:dyDescent="0.2">
      <c r="A41" s="52"/>
      <c r="B41" s="83" t="s">
        <v>791</v>
      </c>
      <c r="C41" s="462"/>
      <c r="D41" s="461">
        <f t="shared" ref="D41:AH41" si="60">D19/D$34</f>
        <v>4792.554222390334</v>
      </c>
      <c r="E41" s="461">
        <f t="shared" si="60"/>
        <v>20504.379299864617</v>
      </c>
      <c r="F41" s="461">
        <f t="shared" si="60"/>
        <v>2512.1120588683248</v>
      </c>
      <c r="G41" s="461">
        <f t="shared" si="60"/>
        <v>4637.1413150968729</v>
      </c>
      <c r="H41" s="461">
        <f t="shared" si="60"/>
        <v>3473.7796609499333</v>
      </c>
      <c r="I41" s="461">
        <f t="shared" si="60"/>
        <v>4442.3687264747086</v>
      </c>
      <c r="J41" s="461">
        <f t="shared" si="60"/>
        <v>3206.7765591765401</v>
      </c>
      <c r="K41" s="461">
        <f t="shared" si="60"/>
        <v>4125.5889805172565</v>
      </c>
      <c r="L41" s="461">
        <f t="shared" si="60"/>
        <v>2424.7230228785252</v>
      </c>
      <c r="M41" s="461">
        <f t="shared" si="60"/>
        <v>3622.7571883095584</v>
      </c>
      <c r="N41" s="461">
        <f t="shared" si="60"/>
        <v>3231.9180570178842</v>
      </c>
      <c r="O41" s="461">
        <f t="shared" si="60"/>
        <v>4046.4367978663217</v>
      </c>
      <c r="P41" s="461">
        <f t="shared" si="60"/>
        <v>4588.755677403421</v>
      </c>
      <c r="Q41" s="461">
        <f t="shared" si="60"/>
        <v>6206.2813355875605</v>
      </c>
      <c r="R41" s="461">
        <f t="shared" si="60"/>
        <v>6536.1116178763268</v>
      </c>
      <c r="S41" s="461">
        <f t="shared" si="60"/>
        <v>5963.1213362941435</v>
      </c>
      <c r="T41" s="461">
        <f t="shared" si="60"/>
        <v>5144.226431444069</v>
      </c>
      <c r="U41" s="461">
        <f t="shared" si="60"/>
        <v>17535.139502217164</v>
      </c>
      <c r="V41" s="461">
        <f t="shared" si="60"/>
        <v>4500.2950598549996</v>
      </c>
      <c r="W41" s="461">
        <f t="shared" si="60"/>
        <v>3030.7186896573926</v>
      </c>
      <c r="X41" s="461">
        <f t="shared" si="60"/>
        <v>3321.89042444812</v>
      </c>
      <c r="Y41" s="461">
        <f t="shared" si="60"/>
        <v>4004.7521459630502</v>
      </c>
      <c r="Z41" s="461">
        <f t="shared" si="60"/>
        <v>5020.6917548467</v>
      </c>
      <c r="AA41" s="461">
        <f t="shared" si="60"/>
        <v>5322.790555833385</v>
      </c>
      <c r="AB41" s="461">
        <f t="shared" si="60"/>
        <v>3893.1672974998769</v>
      </c>
      <c r="AC41" s="461">
        <f t="shared" si="60"/>
        <v>6302.7042089194092</v>
      </c>
      <c r="AD41" s="461">
        <f t="shared" si="60"/>
        <v>6014.425963259825</v>
      </c>
      <c r="AE41" s="461">
        <f t="shared" si="60"/>
        <v>2884.8600087940272</v>
      </c>
      <c r="AF41" s="461">
        <f t="shared" si="60"/>
        <v>3397.7509604972502</v>
      </c>
      <c r="AG41" s="461">
        <f t="shared" si="60"/>
        <v>4646.4306440018336</v>
      </c>
      <c r="AH41" s="461">
        <f t="shared" si="60"/>
        <v>5408.4575070453575</v>
      </c>
      <c r="AI41" s="461">
        <f t="shared" ref="AI41:BA41" si="61">AI19/AI$34</f>
        <v>2785.4337814876471</v>
      </c>
      <c r="AJ41" s="461">
        <f t="shared" si="61"/>
        <v>2784.4838045972574</v>
      </c>
      <c r="AK41" s="461">
        <f t="shared" si="61"/>
        <v>13372.813038525572</v>
      </c>
      <c r="AL41" s="461">
        <f t="shared" si="61"/>
        <v>4565.0765136872369</v>
      </c>
      <c r="AM41" s="461">
        <f t="shared" si="61"/>
        <v>6546.2560677222427</v>
      </c>
      <c r="AN41" s="461">
        <f t="shared" si="61"/>
        <v>3272.0968691357211</v>
      </c>
      <c r="AO41" s="461">
        <f t="shared" si="61"/>
        <v>4284.6549593579639</v>
      </c>
      <c r="AP41" s="461">
        <f t="shared" si="61"/>
        <v>2902.6713088899596</v>
      </c>
      <c r="AQ41" s="461">
        <f t="shared" si="61"/>
        <v>3573.9902100164595</v>
      </c>
      <c r="AR41" s="461">
        <f t="shared" si="61"/>
        <v>6101.5088763503336</v>
      </c>
      <c r="AS41" s="461">
        <f t="shared" si="61"/>
        <v>4051.3098326553682</v>
      </c>
      <c r="AT41" s="461">
        <f t="shared" si="61"/>
        <v>8306.1424767333756</v>
      </c>
      <c r="AU41" s="461">
        <f t="shared" si="61"/>
        <v>4542.0767233038432</v>
      </c>
      <c r="AV41" s="461">
        <f t="shared" si="61"/>
        <v>3587.5976712118891</v>
      </c>
      <c r="AW41" s="461">
        <f t="shared" si="61"/>
        <v>3440.0418341480367</v>
      </c>
      <c r="AX41" s="461">
        <f t="shared" si="61"/>
        <v>3676.9951989274346</v>
      </c>
      <c r="AY41" s="461">
        <f t="shared" si="61"/>
        <v>5252.9721150590758</v>
      </c>
      <c r="AZ41" s="461">
        <f t="shared" si="61"/>
        <v>4143.935306102112</v>
      </c>
      <c r="BA41" s="461">
        <f t="shared" si="61"/>
        <v>16578.303569540112</v>
      </c>
    </row>
    <row r="42" spans="1:53" x14ac:dyDescent="0.2">
      <c r="A42" s="468"/>
      <c r="B42" s="49" t="s">
        <v>1045</v>
      </c>
      <c r="C42" s="462"/>
      <c r="D42" s="461">
        <f t="shared" ref="D42:AH42" si="62">D20/D$34*1000000</f>
        <v>299.62389322039786</v>
      </c>
      <c r="E42" s="461">
        <f t="shared" si="62"/>
        <v>91.592296852982614</v>
      </c>
      <c r="F42" s="461">
        <f t="shared" si="62"/>
        <v>163.5763837079221</v>
      </c>
      <c r="G42" s="461">
        <f t="shared" si="62"/>
        <v>200.40277929967581</v>
      </c>
      <c r="H42" s="461">
        <f t="shared" si="62"/>
        <v>46.521152662064225</v>
      </c>
      <c r="I42" s="461">
        <f t="shared" si="62"/>
        <v>102.04636082858283</v>
      </c>
      <c r="J42" s="461">
        <f t="shared" si="62"/>
        <v>86.736700999827988</v>
      </c>
      <c r="K42" s="461">
        <f t="shared" si="62"/>
        <v>65.959211000102414</v>
      </c>
      <c r="L42" s="461">
        <f t="shared" si="62"/>
        <v>100.55411669748587</v>
      </c>
      <c r="M42" s="461">
        <f t="shared" si="62"/>
        <v>119.54188857839929</v>
      </c>
      <c r="N42" s="461">
        <f t="shared" si="62"/>
        <v>71.836526188767522</v>
      </c>
      <c r="O42" s="461">
        <f t="shared" si="62"/>
        <v>96.985371373151224</v>
      </c>
      <c r="P42" s="461">
        <f t="shared" si="62"/>
        <v>160.17416199006016</v>
      </c>
      <c r="Q42" s="461">
        <f t="shared" si="62"/>
        <v>188.4029302893812</v>
      </c>
      <c r="R42" s="461">
        <f t="shared" si="62"/>
        <v>184.98108904515749</v>
      </c>
      <c r="S42" s="461">
        <f t="shared" si="62"/>
        <v>170.53455528280867</v>
      </c>
      <c r="T42" s="461">
        <f t="shared" si="62"/>
        <v>235.11420454363295</v>
      </c>
      <c r="U42" s="461">
        <f t="shared" si="62"/>
        <v>175.76855297079675</v>
      </c>
      <c r="V42" s="461">
        <f t="shared" si="62"/>
        <v>85.356600910470419</v>
      </c>
      <c r="W42" s="461">
        <f t="shared" si="62"/>
        <v>73.464288136185317</v>
      </c>
      <c r="X42" s="461">
        <f t="shared" si="62"/>
        <v>50.855130533465775</v>
      </c>
      <c r="Y42" s="461">
        <f t="shared" si="62"/>
        <v>115.05749685551021</v>
      </c>
      <c r="Z42" s="461">
        <f t="shared" si="62"/>
        <v>105.30550096413161</v>
      </c>
      <c r="AA42" s="461">
        <f t="shared" si="62"/>
        <v>154.05764046298569</v>
      </c>
      <c r="AB42" s="461">
        <f t="shared" si="62"/>
        <v>161.65794417159373</v>
      </c>
      <c r="AC42" s="461">
        <f t="shared" si="62"/>
        <v>311.22609046906433</v>
      </c>
      <c r="AD42" s="461">
        <f t="shared" si="62"/>
        <v>200.89738871392018</v>
      </c>
      <c r="AE42" s="461">
        <f t="shared" si="62"/>
        <v>100.1092635811102</v>
      </c>
      <c r="AF42" s="461">
        <f t="shared" si="62"/>
        <v>149.18724820857682</v>
      </c>
      <c r="AG42" s="461">
        <f t="shared" si="62"/>
        <v>70.052733669557782</v>
      </c>
      <c r="AH42" s="461">
        <f t="shared" si="62"/>
        <v>184.4445064497848</v>
      </c>
      <c r="AI42" s="461">
        <f t="shared" ref="AI42:BA42" si="63">AI20/AI$34*1000000</f>
        <v>69.953177213621686</v>
      </c>
      <c r="AJ42" s="461">
        <f t="shared" si="63"/>
        <v>121.29183576219215</v>
      </c>
      <c r="AK42" s="461">
        <f t="shared" si="63"/>
        <v>556.85369629348361</v>
      </c>
      <c r="AL42" s="461">
        <f t="shared" si="63"/>
        <v>119.50430322068084</v>
      </c>
      <c r="AM42" s="461">
        <f t="shared" si="63"/>
        <v>187.46549765430294</v>
      </c>
      <c r="AN42" s="461">
        <f t="shared" si="63"/>
        <v>144.2779111577934</v>
      </c>
      <c r="AO42" s="461">
        <f t="shared" si="63"/>
        <v>174.55344293620786</v>
      </c>
      <c r="AP42" s="461">
        <f t="shared" si="63"/>
        <v>65.86423971537512</v>
      </c>
      <c r="AQ42" s="461">
        <f t="shared" si="63"/>
        <v>219.28604503666321</v>
      </c>
      <c r="AR42" s="461">
        <f t="shared" si="63"/>
        <v>146.67438892754066</v>
      </c>
      <c r="AS42" s="461">
        <f t="shared" si="63"/>
        <v>127.61362214086188</v>
      </c>
      <c r="AT42" s="461">
        <f t="shared" si="63"/>
        <v>151.79594642244484</v>
      </c>
      <c r="AU42" s="461">
        <f t="shared" si="63"/>
        <v>140.84972464305218</v>
      </c>
      <c r="AV42" s="461">
        <f t="shared" si="63"/>
        <v>126.87681936571167</v>
      </c>
      <c r="AW42" s="461">
        <f t="shared" si="63"/>
        <v>81.671845756568288</v>
      </c>
      <c r="AX42" s="461">
        <f t="shared" si="63"/>
        <v>159.01473590290399</v>
      </c>
      <c r="AY42" s="461">
        <f t="shared" si="63"/>
        <v>422.39291652200541</v>
      </c>
      <c r="AZ42" s="461">
        <f t="shared" si="63"/>
        <v>110.42335139512592</v>
      </c>
      <c r="BA42" s="461">
        <f t="shared" si="63"/>
        <v>867.70916320617039</v>
      </c>
    </row>
    <row r="43" spans="1:53" x14ac:dyDescent="0.2">
      <c r="A43" s="468"/>
      <c r="B43" s="49" t="s">
        <v>1046</v>
      </c>
      <c r="C43" s="462"/>
      <c r="D43" s="461">
        <f t="shared" ref="D43:AH43" si="64">D21/D$34*1000000</f>
        <v>17.96535953930406</v>
      </c>
      <c r="E43" s="461">
        <f t="shared" si="64"/>
        <v>18.097422153455085</v>
      </c>
      <c r="F43" s="461">
        <f t="shared" si="64"/>
        <v>13.776969267771864</v>
      </c>
      <c r="G43" s="461">
        <f t="shared" si="64"/>
        <v>9.7666153267119995</v>
      </c>
      <c r="H43" s="461">
        <f t="shared" si="64"/>
        <v>10.970192522102192</v>
      </c>
      <c r="I43" s="461">
        <f t="shared" si="64"/>
        <v>3.9481641232280653</v>
      </c>
      <c r="J43" s="461">
        <f t="shared" si="64"/>
        <v>1.5334357296658756</v>
      </c>
      <c r="K43" s="461">
        <f t="shared" si="64"/>
        <v>0</v>
      </c>
      <c r="L43" s="461">
        <f t="shared" si="64"/>
        <v>9.4328439678692172E-2</v>
      </c>
      <c r="M43" s="461">
        <f t="shared" si="64"/>
        <v>2.6598834543019794</v>
      </c>
      <c r="N43" s="461">
        <f t="shared" si="64"/>
        <v>0.29024859066168696</v>
      </c>
      <c r="O43" s="461">
        <f t="shared" si="64"/>
        <v>82.210256203022709</v>
      </c>
      <c r="P43" s="461">
        <f t="shared" si="64"/>
        <v>0.10886679618704932</v>
      </c>
      <c r="Q43" s="461">
        <f t="shared" si="64"/>
        <v>0.6138402876578356</v>
      </c>
      <c r="R43" s="461">
        <f t="shared" si="64"/>
        <v>2.937243827463687</v>
      </c>
      <c r="S43" s="461">
        <f t="shared" si="64"/>
        <v>3.4838519976058968E-2</v>
      </c>
      <c r="T43" s="461">
        <f t="shared" si="64"/>
        <v>6.5951973223498879</v>
      </c>
      <c r="U43" s="461">
        <f t="shared" si="64"/>
        <v>2.2077631948825358</v>
      </c>
      <c r="V43" s="461">
        <f t="shared" si="64"/>
        <v>23.634896548401858</v>
      </c>
      <c r="W43" s="461">
        <f t="shared" si="64"/>
        <v>4.2297620442046098</v>
      </c>
      <c r="X43" s="461">
        <f t="shared" si="64"/>
        <v>1.6649001067503677</v>
      </c>
      <c r="Y43" s="461">
        <f t="shared" si="64"/>
        <v>1.3060909093946511</v>
      </c>
      <c r="Z43" s="461">
        <f t="shared" si="64"/>
        <v>1.1407628412026334</v>
      </c>
      <c r="AA43" s="461">
        <f t="shared" si="64"/>
        <v>0</v>
      </c>
      <c r="AB43" s="461">
        <f t="shared" si="64"/>
        <v>1.9138010685333828</v>
      </c>
      <c r="AC43" s="461">
        <f t="shared" si="64"/>
        <v>122.68622696751522</v>
      </c>
      <c r="AD43" s="461">
        <f t="shared" si="64"/>
        <v>8.5222615585207961</v>
      </c>
      <c r="AE43" s="461">
        <f t="shared" si="64"/>
        <v>7.8308017417467761</v>
      </c>
      <c r="AF43" s="461">
        <f t="shared" si="64"/>
        <v>11.761965143606005</v>
      </c>
      <c r="AG43" s="461">
        <f t="shared" si="64"/>
        <v>2.2637819896447822E-2</v>
      </c>
      <c r="AH43" s="461">
        <f t="shared" si="64"/>
        <v>0.91404424166560017</v>
      </c>
      <c r="AI43" s="461">
        <f t="shared" ref="AI43:BA43" si="65">AI21/AI$34*1000000</f>
        <v>13.906539847774667</v>
      </c>
      <c r="AJ43" s="461">
        <f t="shared" si="65"/>
        <v>3.9062892604088879</v>
      </c>
      <c r="AK43" s="461">
        <f t="shared" si="65"/>
        <v>36.656249087244795</v>
      </c>
      <c r="AL43" s="461">
        <f t="shared" si="65"/>
        <v>0.32059594106476152</v>
      </c>
      <c r="AM43" s="461">
        <f t="shared" si="65"/>
        <v>3.8581847557835109</v>
      </c>
      <c r="AN43" s="461">
        <f t="shared" si="65"/>
        <v>106.27602450630509</v>
      </c>
      <c r="AO43" s="461">
        <f t="shared" si="65"/>
        <v>2.4560677742878423</v>
      </c>
      <c r="AP43" s="461">
        <f t="shared" si="65"/>
        <v>9.5179537160946695E-2</v>
      </c>
      <c r="AQ43" s="461">
        <f t="shared" si="65"/>
        <v>3.2310882904504434</v>
      </c>
      <c r="AR43" s="461">
        <f t="shared" si="65"/>
        <v>77.951123916789001</v>
      </c>
      <c r="AS43" s="461">
        <f t="shared" si="65"/>
        <v>14.531733634260014</v>
      </c>
      <c r="AT43" s="461">
        <f t="shared" si="65"/>
        <v>0.2145773890519807</v>
      </c>
      <c r="AU43" s="461">
        <f t="shared" si="65"/>
        <v>4.2638665381347787</v>
      </c>
      <c r="AV43" s="461">
        <f t="shared" si="65"/>
        <v>21.704713753128033</v>
      </c>
      <c r="AW43" s="461">
        <f t="shared" si="65"/>
        <v>1.443663084078938</v>
      </c>
      <c r="AX43" s="461">
        <f t="shared" si="65"/>
        <v>130.74382110505127</v>
      </c>
      <c r="AY43" s="461">
        <f t="shared" si="65"/>
        <v>4.6902595708250754</v>
      </c>
      <c r="AZ43" s="461">
        <f t="shared" si="65"/>
        <v>3.3976415813884899</v>
      </c>
      <c r="BA43" s="461">
        <f t="shared" si="65"/>
        <v>20.974485155704709</v>
      </c>
    </row>
    <row r="44" spans="1:53" x14ac:dyDescent="0.2">
      <c r="A44" s="468"/>
      <c r="B44" s="49" t="s">
        <v>1047</v>
      </c>
      <c r="C44" s="462"/>
      <c r="D44" s="461">
        <f t="shared" ref="D44:AH44" si="66">D22/D$34*1000000</f>
        <v>0</v>
      </c>
      <c r="E44" s="461">
        <f t="shared" si="66"/>
        <v>0</v>
      </c>
      <c r="F44" s="461">
        <f t="shared" si="66"/>
        <v>0.12369893843117277</v>
      </c>
      <c r="G44" s="461">
        <f t="shared" si="66"/>
        <v>0</v>
      </c>
      <c r="H44" s="461">
        <f t="shared" si="66"/>
        <v>0.22290666953473251</v>
      </c>
      <c r="I44" s="461">
        <f t="shared" si="66"/>
        <v>0.17590830252006234</v>
      </c>
      <c r="J44" s="461">
        <f t="shared" si="66"/>
        <v>0</v>
      </c>
      <c r="K44" s="461">
        <f t="shared" si="66"/>
        <v>0.11011554424057164</v>
      </c>
      <c r="L44" s="461">
        <f t="shared" si="66"/>
        <v>6.2885626452461443E-2</v>
      </c>
      <c r="M44" s="461">
        <f t="shared" si="66"/>
        <v>0</v>
      </c>
      <c r="N44" s="461">
        <f t="shared" si="66"/>
        <v>0</v>
      </c>
      <c r="O44" s="461">
        <f t="shared" si="66"/>
        <v>0</v>
      </c>
      <c r="P44" s="461">
        <f t="shared" si="66"/>
        <v>7.7761997276463816E-3</v>
      </c>
      <c r="Q44" s="461">
        <f t="shared" si="66"/>
        <v>0</v>
      </c>
      <c r="R44" s="461">
        <f t="shared" si="66"/>
        <v>0</v>
      </c>
      <c r="S44" s="461">
        <f t="shared" si="66"/>
        <v>0</v>
      </c>
      <c r="T44" s="461">
        <f t="shared" si="66"/>
        <v>0</v>
      </c>
      <c r="U44" s="461">
        <f t="shared" si="66"/>
        <v>0</v>
      </c>
      <c r="V44" s="461">
        <f t="shared" si="66"/>
        <v>0</v>
      </c>
      <c r="W44" s="461">
        <f t="shared" si="66"/>
        <v>0</v>
      </c>
      <c r="X44" s="461">
        <f t="shared" si="66"/>
        <v>0</v>
      </c>
      <c r="Y44" s="461">
        <f t="shared" si="66"/>
        <v>0</v>
      </c>
      <c r="Z44" s="461">
        <f t="shared" si="66"/>
        <v>0</v>
      </c>
      <c r="AA44" s="461">
        <f t="shared" si="66"/>
        <v>0</v>
      </c>
      <c r="AB44" s="461">
        <f t="shared" si="66"/>
        <v>0</v>
      </c>
      <c r="AC44" s="461">
        <f t="shared" si="66"/>
        <v>0</v>
      </c>
      <c r="AD44" s="461">
        <f t="shared" si="66"/>
        <v>0</v>
      </c>
      <c r="AE44" s="461">
        <f t="shared" si="66"/>
        <v>0.91910818565103014</v>
      </c>
      <c r="AF44" s="461">
        <f t="shared" si="66"/>
        <v>0</v>
      </c>
      <c r="AG44" s="461">
        <f t="shared" si="66"/>
        <v>6.7913459689343467E-2</v>
      </c>
      <c r="AH44" s="461">
        <f t="shared" si="66"/>
        <v>0.57729109999932648</v>
      </c>
      <c r="AI44" s="461">
        <f t="shared" ref="AI44:BA44" si="67">AI22/AI$34*1000000</f>
        <v>5.1277801798579152E-3</v>
      </c>
      <c r="AJ44" s="461">
        <f t="shared" si="67"/>
        <v>2.0723019949118768E-2</v>
      </c>
      <c r="AK44" s="461">
        <f t="shared" si="67"/>
        <v>0</v>
      </c>
      <c r="AL44" s="461">
        <f t="shared" si="67"/>
        <v>1.7329510327824947E-2</v>
      </c>
      <c r="AM44" s="461">
        <f t="shared" si="67"/>
        <v>0</v>
      </c>
      <c r="AN44" s="461">
        <f t="shared" si="67"/>
        <v>0</v>
      </c>
      <c r="AO44" s="461">
        <f t="shared" si="67"/>
        <v>1.5693723797366405E-2</v>
      </c>
      <c r="AP44" s="461">
        <f t="shared" si="67"/>
        <v>0</v>
      </c>
      <c r="AQ44" s="461">
        <f t="shared" si="67"/>
        <v>0</v>
      </c>
      <c r="AR44" s="461">
        <f t="shared" si="67"/>
        <v>0</v>
      </c>
      <c r="AS44" s="461">
        <f t="shared" si="67"/>
        <v>0</v>
      </c>
      <c r="AT44" s="461">
        <f t="shared" si="67"/>
        <v>1.1704221221017129E-2</v>
      </c>
      <c r="AU44" s="461">
        <f t="shared" si="67"/>
        <v>0</v>
      </c>
      <c r="AV44" s="461">
        <f t="shared" si="67"/>
        <v>0</v>
      </c>
      <c r="AW44" s="461">
        <f t="shared" si="67"/>
        <v>0</v>
      </c>
      <c r="AX44" s="461">
        <f t="shared" si="67"/>
        <v>0</v>
      </c>
      <c r="AY44" s="461">
        <f t="shared" si="67"/>
        <v>0</v>
      </c>
      <c r="AZ44" s="461">
        <f t="shared" si="67"/>
        <v>0</v>
      </c>
      <c r="BA44" s="461">
        <f t="shared" si="67"/>
        <v>0</v>
      </c>
    </row>
    <row r="45" spans="1:53" x14ac:dyDescent="0.2">
      <c r="A45" s="468"/>
      <c r="B45" s="49" t="s">
        <v>1048</v>
      </c>
      <c r="C45" s="462"/>
      <c r="D45" s="461">
        <f t="shared" ref="D45:AH45" si="68">D23/D$34*1000000</f>
        <v>0</v>
      </c>
      <c r="E45" s="461">
        <f t="shared" si="68"/>
        <v>0.13814826071339764</v>
      </c>
      <c r="F45" s="461">
        <f t="shared" si="68"/>
        <v>0.38655918259741484</v>
      </c>
      <c r="G45" s="461">
        <f t="shared" si="68"/>
        <v>0</v>
      </c>
      <c r="H45" s="461">
        <f t="shared" si="68"/>
        <v>1.9981990733292088</v>
      </c>
      <c r="I45" s="461">
        <f t="shared" si="68"/>
        <v>9.8508649411234899</v>
      </c>
      <c r="J45" s="461">
        <f t="shared" si="68"/>
        <v>0</v>
      </c>
      <c r="K45" s="461">
        <f t="shared" si="68"/>
        <v>0</v>
      </c>
      <c r="L45" s="461">
        <f t="shared" si="68"/>
        <v>0</v>
      </c>
      <c r="M45" s="461">
        <f t="shared" si="68"/>
        <v>0</v>
      </c>
      <c r="N45" s="461">
        <f t="shared" si="68"/>
        <v>2.3945508729589173</v>
      </c>
      <c r="O45" s="461">
        <f t="shared" si="68"/>
        <v>8.0189727632748724</v>
      </c>
      <c r="P45" s="461">
        <f t="shared" si="68"/>
        <v>4.6968246354984142</v>
      </c>
      <c r="Q45" s="461">
        <f t="shared" si="68"/>
        <v>4.8953762940712382</v>
      </c>
      <c r="R45" s="461">
        <f t="shared" si="68"/>
        <v>33.941484228469271</v>
      </c>
      <c r="S45" s="461">
        <f t="shared" si="68"/>
        <v>12.576705711357288</v>
      </c>
      <c r="T45" s="461">
        <f t="shared" si="68"/>
        <v>0</v>
      </c>
      <c r="U45" s="461">
        <f t="shared" si="68"/>
        <v>0</v>
      </c>
      <c r="V45" s="461">
        <f t="shared" si="68"/>
        <v>5.1936556109545489</v>
      </c>
      <c r="W45" s="461">
        <f t="shared" si="68"/>
        <v>0.44523810991627472</v>
      </c>
      <c r="X45" s="461">
        <f t="shared" si="68"/>
        <v>7.5677277579562177E-2</v>
      </c>
      <c r="Y45" s="461">
        <f t="shared" si="68"/>
        <v>0.44548837219662524</v>
      </c>
      <c r="Z45" s="461">
        <f t="shared" si="68"/>
        <v>12.174370649555971</v>
      </c>
      <c r="AA45" s="461">
        <f t="shared" si="68"/>
        <v>0</v>
      </c>
      <c r="AB45" s="461">
        <f t="shared" si="68"/>
        <v>1.8971593201113532</v>
      </c>
      <c r="AC45" s="461">
        <f t="shared" si="68"/>
        <v>12.32876300408854</v>
      </c>
      <c r="AD45" s="461">
        <f t="shared" si="68"/>
        <v>5.5367559170007716</v>
      </c>
      <c r="AE45" s="461">
        <f t="shared" si="68"/>
        <v>0</v>
      </c>
      <c r="AF45" s="461">
        <f t="shared" si="68"/>
        <v>0.45530187652668408</v>
      </c>
      <c r="AG45" s="461">
        <f t="shared" si="68"/>
        <v>1.1318909948223911E-2</v>
      </c>
      <c r="AH45" s="461">
        <f t="shared" si="68"/>
        <v>9.8139486999885506</v>
      </c>
      <c r="AI45" s="461">
        <f t="shared" ref="AI45:BA45" si="69">AI23/AI$34*1000000</f>
        <v>1.4101395494609268</v>
      </c>
      <c r="AJ45" s="461">
        <f t="shared" si="69"/>
        <v>0</v>
      </c>
      <c r="AK45" s="461">
        <f t="shared" si="69"/>
        <v>74.334784005607958</v>
      </c>
      <c r="AL45" s="461">
        <f t="shared" si="69"/>
        <v>0.16463034811433699</v>
      </c>
      <c r="AM45" s="461">
        <f t="shared" si="69"/>
        <v>14.402128026726121</v>
      </c>
      <c r="AN45" s="461">
        <f t="shared" si="69"/>
        <v>11.995153337612638</v>
      </c>
      <c r="AO45" s="461">
        <f t="shared" si="69"/>
        <v>1.3653539703708772</v>
      </c>
      <c r="AP45" s="461">
        <f t="shared" si="69"/>
        <v>0</v>
      </c>
      <c r="AQ45" s="461">
        <f t="shared" si="69"/>
        <v>0</v>
      </c>
      <c r="AR45" s="461">
        <f t="shared" si="69"/>
        <v>31.447571798206155</v>
      </c>
      <c r="AS45" s="461">
        <f t="shared" si="69"/>
        <v>7.8127600184193624E-2</v>
      </c>
      <c r="AT45" s="461">
        <f t="shared" si="69"/>
        <v>11.579376194659615</v>
      </c>
      <c r="AU45" s="461">
        <f t="shared" si="69"/>
        <v>1.9898043844628965</v>
      </c>
      <c r="AV45" s="461">
        <f t="shared" si="69"/>
        <v>0.47878045043664769</v>
      </c>
      <c r="AW45" s="461">
        <f t="shared" si="69"/>
        <v>0</v>
      </c>
      <c r="AX45" s="461">
        <f t="shared" si="69"/>
        <v>8.9106875049737901</v>
      </c>
      <c r="AY45" s="461">
        <f t="shared" si="69"/>
        <v>5.7684801618193466</v>
      </c>
      <c r="AZ45" s="461">
        <f t="shared" si="69"/>
        <v>2.0140658858746203</v>
      </c>
      <c r="BA45" s="461">
        <f t="shared" si="69"/>
        <v>78.962767645005954</v>
      </c>
    </row>
    <row r="46" spans="1:53" x14ac:dyDescent="0.2">
      <c r="A46" s="52"/>
      <c r="B46" s="49" t="s">
        <v>1049</v>
      </c>
      <c r="C46" s="462"/>
      <c r="D46" s="461">
        <f t="shared" ref="D46:AH46" si="70">D24/D$34*1000000</f>
        <v>281.65853368109384</v>
      </c>
      <c r="E46" s="461">
        <f t="shared" si="70"/>
        <v>73.356726438814121</v>
      </c>
      <c r="F46" s="461">
        <f t="shared" si="70"/>
        <v>149.28915631912164</v>
      </c>
      <c r="G46" s="461">
        <f t="shared" si="70"/>
        <v>190.6361639729638</v>
      </c>
      <c r="H46" s="461">
        <f t="shared" si="70"/>
        <v>33.329854397098089</v>
      </c>
      <c r="I46" s="461">
        <f t="shared" si="70"/>
        <v>88.071423461711234</v>
      </c>
      <c r="J46" s="461">
        <f t="shared" si="70"/>
        <v>85.203265270162106</v>
      </c>
      <c r="K46" s="461">
        <f t="shared" si="70"/>
        <v>65.849095455861828</v>
      </c>
      <c r="L46" s="461">
        <f t="shared" si="70"/>
        <v>100.39690263135471</v>
      </c>
      <c r="M46" s="461">
        <f t="shared" si="70"/>
        <v>116.88200512409733</v>
      </c>
      <c r="N46" s="461">
        <f t="shared" si="70"/>
        <v>69.151726725146915</v>
      </c>
      <c r="O46" s="461">
        <f t="shared" si="70"/>
        <v>6.7561424068536367</v>
      </c>
      <c r="P46" s="461">
        <f t="shared" si="70"/>
        <v>155.36069435864707</v>
      </c>
      <c r="Q46" s="461">
        <f t="shared" si="70"/>
        <v>182.89371370765213</v>
      </c>
      <c r="R46" s="461">
        <f t="shared" si="70"/>
        <v>148.10236098922454</v>
      </c>
      <c r="S46" s="461">
        <f t="shared" si="70"/>
        <v>157.9230110514753</v>
      </c>
      <c r="T46" s="461">
        <f t="shared" si="70"/>
        <v>228.51900722128309</v>
      </c>
      <c r="U46" s="461">
        <f t="shared" si="70"/>
        <v>173.56078977591423</v>
      </c>
      <c r="V46" s="461">
        <f t="shared" si="70"/>
        <v>56.528048751114</v>
      </c>
      <c r="W46" s="461">
        <f t="shared" si="70"/>
        <v>68.789287982064437</v>
      </c>
      <c r="X46" s="461">
        <f t="shared" si="70"/>
        <v>49.114553149135851</v>
      </c>
      <c r="Y46" s="461">
        <f t="shared" si="70"/>
        <v>113.30591757391892</v>
      </c>
      <c r="Z46" s="461">
        <f t="shared" si="70"/>
        <v>91.990367473372999</v>
      </c>
      <c r="AA46" s="461">
        <f t="shared" si="70"/>
        <v>154.05764046298569</v>
      </c>
      <c r="AB46" s="461">
        <f t="shared" si="70"/>
        <v>157.846983782949</v>
      </c>
      <c r="AC46" s="461">
        <f t="shared" si="70"/>
        <v>176.21110049746056</v>
      </c>
      <c r="AD46" s="461">
        <f t="shared" si="70"/>
        <v>186.83837123839862</v>
      </c>
      <c r="AE46" s="461">
        <f t="shared" si="70"/>
        <v>91.35935365371239</v>
      </c>
      <c r="AF46" s="461">
        <f t="shared" si="70"/>
        <v>136.96998118844414</v>
      </c>
      <c r="AG46" s="461">
        <f t="shared" si="70"/>
        <v>69.950863480023756</v>
      </c>
      <c r="AH46" s="461">
        <f t="shared" si="70"/>
        <v>173.13922240813136</v>
      </c>
      <c r="AI46" s="461">
        <f t="shared" ref="AI46:BA46" si="71">AI24/AI$34*1000000</f>
        <v>54.631370036206235</v>
      </c>
      <c r="AJ46" s="461">
        <f t="shared" si="71"/>
        <v>117.36482348183412</v>
      </c>
      <c r="AK46" s="461">
        <f t="shared" si="71"/>
        <v>445.86266320063089</v>
      </c>
      <c r="AL46" s="461">
        <f t="shared" si="71"/>
        <v>119.0017474211739</v>
      </c>
      <c r="AM46" s="461">
        <f t="shared" si="71"/>
        <v>169.20518487179331</v>
      </c>
      <c r="AN46" s="461">
        <f t="shared" si="71"/>
        <v>26.006733313875674</v>
      </c>
      <c r="AO46" s="461">
        <f t="shared" si="71"/>
        <v>170.71632746775174</v>
      </c>
      <c r="AP46" s="461">
        <f t="shared" si="71"/>
        <v>65.769060178214175</v>
      </c>
      <c r="AQ46" s="461">
        <f t="shared" si="71"/>
        <v>216.05495674621278</v>
      </c>
      <c r="AR46" s="461">
        <f t="shared" si="71"/>
        <v>37.275693212545512</v>
      </c>
      <c r="AS46" s="461">
        <f t="shared" si="71"/>
        <v>113.00376090641767</v>
      </c>
      <c r="AT46" s="461">
        <f t="shared" si="71"/>
        <v>139.99028861751222</v>
      </c>
      <c r="AU46" s="461">
        <f t="shared" si="71"/>
        <v>134.59605372045451</v>
      </c>
      <c r="AV46" s="461">
        <f t="shared" si="71"/>
        <v>104.69332516214699</v>
      </c>
      <c r="AW46" s="461">
        <f t="shared" si="71"/>
        <v>80.228182672489353</v>
      </c>
      <c r="AX46" s="461">
        <f t="shared" si="71"/>
        <v>19.360227292878907</v>
      </c>
      <c r="AY46" s="461">
        <f t="shared" si="71"/>
        <v>411.93417678936095</v>
      </c>
      <c r="AZ46" s="461">
        <f t="shared" si="71"/>
        <v>105.01164392786282</v>
      </c>
      <c r="BA46" s="461">
        <f t="shared" si="71"/>
        <v>767.77191040545983</v>
      </c>
    </row>
    <row r="47" spans="1:53" x14ac:dyDescent="0.2">
      <c r="A47" s="52"/>
      <c r="B47" s="463" t="s">
        <v>997</v>
      </c>
      <c r="C47" s="462"/>
      <c r="D47" s="461">
        <f t="shared" ref="D47:AH47" si="72">D25/D$34</f>
        <v>82549.394396569129</v>
      </c>
      <c r="E47" s="461">
        <f t="shared" si="72"/>
        <v>21499.626740566859</v>
      </c>
      <c r="F47" s="461">
        <f t="shared" si="72"/>
        <v>43754.148979812897</v>
      </c>
      <c r="G47" s="461">
        <f t="shared" si="72"/>
        <v>55872.263766988217</v>
      </c>
      <c r="H47" s="461">
        <f t="shared" si="72"/>
        <v>9768.4215700756413</v>
      </c>
      <c r="I47" s="461">
        <f t="shared" si="72"/>
        <v>25812.257755483948</v>
      </c>
      <c r="J47" s="461">
        <f t="shared" si="72"/>
        <v>24971.648672380456</v>
      </c>
      <c r="K47" s="461">
        <f t="shared" si="72"/>
        <v>19299.265960100183</v>
      </c>
      <c r="L47" s="461">
        <f t="shared" si="72"/>
        <v>29424.649071323183</v>
      </c>
      <c r="M47" s="461">
        <f t="shared" si="72"/>
        <v>34256.156249735446</v>
      </c>
      <c r="N47" s="461">
        <f t="shared" si="72"/>
        <v>20267.211818624535</v>
      </c>
      <c r="O47" s="461">
        <f t="shared" si="72"/>
        <v>1980.1120770379946</v>
      </c>
      <c r="P47" s="461">
        <f t="shared" si="72"/>
        <v>45533.614993741809</v>
      </c>
      <c r="Q47" s="461">
        <f t="shared" si="72"/>
        <v>53603.081391457235</v>
      </c>
      <c r="R47" s="461">
        <f t="shared" si="72"/>
        <v>43406.319164485503</v>
      </c>
      <c r="S47" s="461">
        <f t="shared" si="72"/>
        <v>46284.587060807527</v>
      </c>
      <c r="T47" s="461">
        <f t="shared" si="72"/>
        <v>66975.090041407704</v>
      </c>
      <c r="U47" s="461">
        <f t="shared" si="72"/>
        <v>50867.757847571578</v>
      </c>
      <c r="V47" s="461">
        <f t="shared" si="72"/>
        <v>16567.423432331187</v>
      </c>
      <c r="W47" s="461">
        <f t="shared" si="72"/>
        <v>20160.98709908102</v>
      </c>
      <c r="X47" s="461">
        <f t="shared" si="72"/>
        <v>14394.652153908515</v>
      </c>
      <c r="Y47" s="461">
        <f t="shared" si="72"/>
        <v>33208.064939601085</v>
      </c>
      <c r="Z47" s="461">
        <f t="shared" si="72"/>
        <v>26960.834546709557</v>
      </c>
      <c r="AA47" s="461">
        <f t="shared" si="72"/>
        <v>45151.71174178947</v>
      </c>
      <c r="AB47" s="461">
        <f t="shared" si="72"/>
        <v>46262.304742951063</v>
      </c>
      <c r="AC47" s="461">
        <f t="shared" si="72"/>
        <v>51644.519489290906</v>
      </c>
      <c r="AD47" s="461">
        <f t="shared" si="72"/>
        <v>54759.194384055867</v>
      </c>
      <c r="AE47" s="461">
        <f t="shared" si="72"/>
        <v>26775.894974710551</v>
      </c>
      <c r="AF47" s="461">
        <f t="shared" si="72"/>
        <v>40143.60527211141</v>
      </c>
      <c r="AG47" s="461">
        <f t="shared" si="72"/>
        <v>20501.425404461828</v>
      </c>
      <c r="AH47" s="461">
        <f t="shared" si="72"/>
        <v>50744.20351938199</v>
      </c>
      <c r="AI47" s="461">
        <f t="shared" ref="AI47:BA47" si="73">AI25/AI$34</f>
        <v>16011.538697598546</v>
      </c>
      <c r="AJ47" s="461">
        <f t="shared" si="73"/>
        <v>34397.662216246819</v>
      </c>
      <c r="AK47" s="461">
        <f t="shared" si="73"/>
        <v>130674.8719814276</v>
      </c>
      <c r="AL47" s="461">
        <f t="shared" si="73"/>
        <v>34877.41718088332</v>
      </c>
      <c r="AM47" s="461">
        <f t="shared" si="73"/>
        <v>49591.203069107061</v>
      </c>
      <c r="AN47" s="461">
        <f t="shared" si="73"/>
        <v>7622.1375480292136</v>
      </c>
      <c r="AO47" s="461">
        <f t="shared" si="73"/>
        <v>50034.093630642361</v>
      </c>
      <c r="AP47" s="461">
        <f t="shared" si="73"/>
        <v>19275.80896196195</v>
      </c>
      <c r="AQ47" s="461">
        <f t="shared" si="73"/>
        <v>63322.085799007255</v>
      </c>
      <c r="AR47" s="461">
        <f t="shared" si="73"/>
        <v>10924.880777416622</v>
      </c>
      <c r="AS47" s="461">
        <f t="shared" si="73"/>
        <v>33119.507885819949</v>
      </c>
      <c r="AT47" s="461">
        <f t="shared" si="73"/>
        <v>41028.806746046961</v>
      </c>
      <c r="AU47" s="461">
        <f t="shared" si="73"/>
        <v>39447.846928620893</v>
      </c>
      <c r="AV47" s="461">
        <f t="shared" si="73"/>
        <v>30683.858488319751</v>
      </c>
      <c r="AW47" s="461">
        <f t="shared" si="73"/>
        <v>23513.53536708363</v>
      </c>
      <c r="AX47" s="461">
        <f t="shared" si="73"/>
        <v>5674.1580577019058</v>
      </c>
      <c r="AY47" s="461">
        <f t="shared" si="73"/>
        <v>120731.0014036814</v>
      </c>
      <c r="AZ47" s="461">
        <f t="shared" si="73"/>
        <v>30777.152382140332</v>
      </c>
      <c r="BA47" s="464">
        <f t="shared" si="73"/>
        <v>225021.07573430825</v>
      </c>
    </row>
    <row r="48" spans="1:53" x14ac:dyDescent="0.2">
      <c r="A48" s="52"/>
      <c r="B48" s="72" t="s">
        <v>793</v>
      </c>
      <c r="C48" s="462"/>
      <c r="D48" s="461">
        <f t="shared" ref="D48:AH48" si="74">D27/D$34</f>
        <v>9080.4333836226051</v>
      </c>
      <c r="E48" s="461">
        <f t="shared" si="74"/>
        <v>2364.9589414623547</v>
      </c>
      <c r="F48" s="461">
        <f t="shared" si="74"/>
        <v>4812.9563877794189</v>
      </c>
      <c r="G48" s="461">
        <f t="shared" si="74"/>
        <v>6145.9490143687035</v>
      </c>
      <c r="H48" s="461">
        <f t="shared" si="74"/>
        <v>1074.5263727083207</v>
      </c>
      <c r="I48" s="461">
        <f t="shared" si="74"/>
        <v>2839.3483531032348</v>
      </c>
      <c r="J48" s="461">
        <f t="shared" si="74"/>
        <v>2746.8813539618504</v>
      </c>
      <c r="K48" s="461">
        <f t="shared" si="74"/>
        <v>2122.9192556110202</v>
      </c>
      <c r="L48" s="461">
        <f t="shared" si="74"/>
        <v>3236.71139784555</v>
      </c>
      <c r="M48" s="461">
        <f t="shared" si="74"/>
        <v>3768.1771874708988</v>
      </c>
      <c r="N48" s="461">
        <f t="shared" si="74"/>
        <v>2229.3933000486991</v>
      </c>
      <c r="O48" s="461">
        <f t="shared" si="74"/>
        <v>217.8123284741794</v>
      </c>
      <c r="P48" s="461">
        <f t="shared" si="74"/>
        <v>5008.697649311599</v>
      </c>
      <c r="Q48" s="461">
        <f t="shared" si="74"/>
        <v>5896.3389530602963</v>
      </c>
      <c r="R48" s="461">
        <f t="shared" si="74"/>
        <v>4774.695108093405</v>
      </c>
      <c r="S48" s="461">
        <f t="shared" si="74"/>
        <v>5091.3045766888281</v>
      </c>
      <c r="T48" s="461">
        <f t="shared" si="74"/>
        <v>7367.2599045548477</v>
      </c>
      <c r="U48" s="461">
        <f t="shared" si="74"/>
        <v>5595.4533632328739</v>
      </c>
      <c r="V48" s="461">
        <f t="shared" si="74"/>
        <v>1822.4165775564302</v>
      </c>
      <c r="W48" s="461">
        <f t="shared" si="74"/>
        <v>2217.7085808989123</v>
      </c>
      <c r="X48" s="461">
        <f t="shared" si="74"/>
        <v>1583.4117369299365</v>
      </c>
      <c r="Y48" s="461">
        <f t="shared" si="74"/>
        <v>3652.8871433561194</v>
      </c>
      <c r="Z48" s="461">
        <f t="shared" si="74"/>
        <v>2965.6918001380513</v>
      </c>
      <c r="AA48" s="461">
        <f t="shared" si="74"/>
        <v>4966.6882915968417</v>
      </c>
      <c r="AB48" s="461">
        <f t="shared" si="74"/>
        <v>5088.8535217246172</v>
      </c>
      <c r="AC48" s="461">
        <f t="shared" si="74"/>
        <v>5680.8971438219987</v>
      </c>
      <c r="AD48" s="461">
        <f t="shared" si="74"/>
        <v>6023.5113822461453</v>
      </c>
      <c r="AE48" s="461">
        <f t="shared" si="74"/>
        <v>2945.3484472181603</v>
      </c>
      <c r="AF48" s="461">
        <f t="shared" si="74"/>
        <v>4415.7965799322556</v>
      </c>
      <c r="AG48" s="461">
        <f t="shared" si="74"/>
        <v>2255.1567944908006</v>
      </c>
      <c r="AH48" s="461">
        <f t="shared" si="74"/>
        <v>5581.8623871320187</v>
      </c>
      <c r="AI48" s="461">
        <f t="shared" ref="AI48:BA48" si="75">AI27/AI$34</f>
        <v>1761.2692567358401</v>
      </c>
      <c r="AJ48" s="461">
        <f t="shared" si="75"/>
        <v>3783.7428437871499</v>
      </c>
      <c r="AK48" s="461">
        <f t="shared" si="75"/>
        <v>14374.235917957036</v>
      </c>
      <c r="AL48" s="461">
        <f t="shared" si="75"/>
        <v>3836.5158898971654</v>
      </c>
      <c r="AM48" s="461">
        <f t="shared" si="75"/>
        <v>5455.0323376017768</v>
      </c>
      <c r="AN48" s="461">
        <f t="shared" si="75"/>
        <v>838.43513028321354</v>
      </c>
      <c r="AO48" s="461">
        <f t="shared" si="75"/>
        <v>5503.7502993706603</v>
      </c>
      <c r="AP48" s="461">
        <f t="shared" si="75"/>
        <v>2120.3389858158143</v>
      </c>
      <c r="AQ48" s="461">
        <f t="shared" si="75"/>
        <v>6965.429437890798</v>
      </c>
      <c r="AR48" s="461">
        <f t="shared" si="75"/>
        <v>1201.7368855158284</v>
      </c>
      <c r="AS48" s="461">
        <f t="shared" si="75"/>
        <v>3643.1458674401943</v>
      </c>
      <c r="AT48" s="461">
        <f t="shared" si="75"/>
        <v>4513.1687420651651</v>
      </c>
      <c r="AU48" s="461">
        <f t="shared" si="75"/>
        <v>4339.2631621482988</v>
      </c>
      <c r="AV48" s="461">
        <f t="shared" si="75"/>
        <v>3375.2244337151724</v>
      </c>
      <c r="AW48" s="461">
        <f t="shared" si="75"/>
        <v>2586.4888903791993</v>
      </c>
      <c r="AX48" s="461">
        <f t="shared" si="75"/>
        <v>624.15738634720969</v>
      </c>
      <c r="AY48" s="461">
        <f t="shared" si="75"/>
        <v>13280.410154404954</v>
      </c>
      <c r="AZ48" s="461">
        <f t="shared" si="75"/>
        <v>3385.4867620354362</v>
      </c>
      <c r="BA48" s="461">
        <f t="shared" si="75"/>
        <v>24752.318330773909</v>
      </c>
    </row>
    <row r="49" spans="1:53" x14ac:dyDescent="0.2">
      <c r="A49" s="52"/>
      <c r="B49" s="72"/>
      <c r="C49" s="462"/>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61"/>
      <c r="AK49" s="461"/>
      <c r="AL49" s="461"/>
      <c r="AM49" s="461"/>
      <c r="AN49" s="461"/>
      <c r="AO49" s="461"/>
      <c r="AP49" s="461"/>
      <c r="AQ49" s="461"/>
      <c r="AR49" s="461"/>
      <c r="AS49" s="461"/>
      <c r="AT49" s="461"/>
      <c r="AU49" s="461"/>
      <c r="AV49" s="461"/>
      <c r="AW49" s="461"/>
      <c r="AX49" s="461"/>
      <c r="AY49" s="461"/>
      <c r="AZ49" s="461"/>
      <c r="BA49" s="461"/>
    </row>
    <row r="50" spans="1:53" x14ac:dyDescent="0.2">
      <c r="A50" s="52"/>
      <c r="B50" s="465" t="s">
        <v>1051</v>
      </c>
      <c r="C50" s="466" t="s">
        <v>1053</v>
      </c>
      <c r="D50" s="3" t="s">
        <v>39</v>
      </c>
      <c r="E50" s="3" t="s">
        <v>40</v>
      </c>
      <c r="F50" s="3" t="s">
        <v>41</v>
      </c>
      <c r="G50" s="3" t="s">
        <v>42</v>
      </c>
      <c r="H50" s="3" t="s">
        <v>43</v>
      </c>
      <c r="I50" s="3" t="s">
        <v>44</v>
      </c>
      <c r="J50" s="3" t="s">
        <v>45</v>
      </c>
      <c r="K50" s="3" t="s">
        <v>46</v>
      </c>
      <c r="L50" s="3" t="s">
        <v>47</v>
      </c>
      <c r="M50" s="3" t="s">
        <v>48</v>
      </c>
      <c r="N50" s="3" t="s">
        <v>49</v>
      </c>
      <c r="O50" s="3" t="s">
        <v>50</v>
      </c>
      <c r="P50" s="3" t="s">
        <v>51</v>
      </c>
      <c r="Q50" s="3" t="s">
        <v>52</v>
      </c>
      <c r="R50" s="3" t="s">
        <v>53</v>
      </c>
      <c r="S50" s="3" t="s">
        <v>54</v>
      </c>
      <c r="T50" s="3" t="s">
        <v>55</v>
      </c>
      <c r="U50" s="3" t="s">
        <v>56</v>
      </c>
      <c r="V50" s="3" t="s">
        <v>57</v>
      </c>
      <c r="W50" s="3" t="s">
        <v>58</v>
      </c>
      <c r="X50" s="3" t="s">
        <v>59</v>
      </c>
      <c r="Y50" s="3" t="s">
        <v>60</v>
      </c>
      <c r="Z50" s="3" t="s">
        <v>61</v>
      </c>
      <c r="AA50" s="3" t="s">
        <v>62</v>
      </c>
      <c r="AB50" s="3" t="s">
        <v>63</v>
      </c>
      <c r="AC50" s="3" t="s">
        <v>64</v>
      </c>
      <c r="AD50" s="3" t="s">
        <v>65</v>
      </c>
      <c r="AE50" s="3" t="s">
        <v>66</v>
      </c>
      <c r="AF50" s="3" t="s">
        <v>67</v>
      </c>
      <c r="AG50" s="3" t="s">
        <v>68</v>
      </c>
      <c r="AH50" s="3" t="s">
        <v>69</v>
      </c>
      <c r="AI50" s="3" t="s">
        <v>70</v>
      </c>
      <c r="AJ50" s="3" t="s">
        <v>71</v>
      </c>
      <c r="AK50" s="3" t="s">
        <v>72</v>
      </c>
      <c r="AL50" s="3" t="s">
        <v>73</v>
      </c>
      <c r="AM50" s="3" t="s">
        <v>74</v>
      </c>
      <c r="AN50" s="3" t="s">
        <v>75</v>
      </c>
      <c r="AO50" s="3" t="s">
        <v>76</v>
      </c>
      <c r="AP50" s="3" t="s">
        <v>77</v>
      </c>
      <c r="AQ50" s="3" t="s">
        <v>78</v>
      </c>
      <c r="AR50" s="3" t="s">
        <v>79</v>
      </c>
      <c r="AS50" s="3" t="s">
        <v>80</v>
      </c>
      <c r="AT50" s="3" t="s">
        <v>81</v>
      </c>
      <c r="AU50" s="3" t="s">
        <v>82</v>
      </c>
      <c r="AV50" s="3" t="s">
        <v>83</v>
      </c>
      <c r="AW50" s="3" t="s">
        <v>84</v>
      </c>
      <c r="AX50" s="3" t="s">
        <v>85</v>
      </c>
      <c r="AY50" s="3" t="s">
        <v>86</v>
      </c>
      <c r="AZ50" s="3" t="s">
        <v>87</v>
      </c>
      <c r="BA50" s="3" t="s">
        <v>88</v>
      </c>
    </row>
    <row r="51" spans="1:53" x14ac:dyDescent="0.2">
      <c r="A51" s="468"/>
      <c r="B51" s="83" t="s">
        <v>868</v>
      </c>
      <c r="C51" s="462">
        <f t="shared" ref="C51:C62" si="76">CORREL($D$28:$BA$28,D51:BA51)</f>
        <v>0.28675959341570145</v>
      </c>
      <c r="D51" s="461">
        <f t="shared" ref="D51:AI51" si="77">RANK(D37,$D37:$BA37)</f>
        <v>7</v>
      </c>
      <c r="E51" s="461">
        <f t="shared" si="77"/>
        <v>8</v>
      </c>
      <c r="F51" s="461">
        <f t="shared" si="77"/>
        <v>28</v>
      </c>
      <c r="G51" s="461">
        <f t="shared" si="77"/>
        <v>27</v>
      </c>
      <c r="H51" s="461">
        <f t="shared" si="77"/>
        <v>32</v>
      </c>
      <c r="I51" s="461">
        <f t="shared" si="77"/>
        <v>31</v>
      </c>
      <c r="J51" s="461">
        <f t="shared" si="77"/>
        <v>45</v>
      </c>
      <c r="K51" s="461">
        <f t="shared" si="77"/>
        <v>45</v>
      </c>
      <c r="L51" s="461">
        <f t="shared" si="77"/>
        <v>38</v>
      </c>
      <c r="M51" s="461">
        <f t="shared" si="77"/>
        <v>24</v>
      </c>
      <c r="N51" s="461">
        <f t="shared" si="77"/>
        <v>33</v>
      </c>
      <c r="O51" s="461">
        <f t="shared" si="77"/>
        <v>18</v>
      </c>
      <c r="P51" s="461">
        <f t="shared" si="77"/>
        <v>14</v>
      </c>
      <c r="Q51" s="461">
        <f t="shared" si="77"/>
        <v>3</v>
      </c>
      <c r="R51" s="461">
        <f t="shared" si="77"/>
        <v>5</v>
      </c>
      <c r="S51" s="461">
        <f t="shared" si="77"/>
        <v>36</v>
      </c>
      <c r="T51" s="461">
        <f t="shared" si="77"/>
        <v>9</v>
      </c>
      <c r="U51" s="461">
        <f t="shared" si="77"/>
        <v>41</v>
      </c>
      <c r="V51" s="461">
        <f t="shared" si="77"/>
        <v>40</v>
      </c>
      <c r="W51" s="461">
        <f t="shared" si="77"/>
        <v>21</v>
      </c>
      <c r="X51" s="461">
        <f t="shared" si="77"/>
        <v>43</v>
      </c>
      <c r="Y51" s="461">
        <f t="shared" si="77"/>
        <v>15</v>
      </c>
      <c r="Z51" s="461">
        <f t="shared" si="77"/>
        <v>20</v>
      </c>
      <c r="AA51" s="461">
        <f t="shared" si="77"/>
        <v>35</v>
      </c>
      <c r="AB51" s="461">
        <f t="shared" si="77"/>
        <v>25</v>
      </c>
      <c r="AC51" s="461">
        <f t="shared" si="77"/>
        <v>29</v>
      </c>
      <c r="AD51" s="461">
        <f t="shared" si="77"/>
        <v>12</v>
      </c>
      <c r="AE51" s="461">
        <f t="shared" si="77"/>
        <v>34</v>
      </c>
      <c r="AF51" s="461">
        <f t="shared" si="77"/>
        <v>45</v>
      </c>
      <c r="AG51" s="461">
        <f t="shared" si="77"/>
        <v>45</v>
      </c>
      <c r="AH51" s="461">
        <f t="shared" si="77"/>
        <v>44</v>
      </c>
      <c r="AI51" s="461">
        <f t="shared" si="77"/>
        <v>30</v>
      </c>
      <c r="AJ51" s="461">
        <f t="shared" ref="AJ51:BA51" si="78">RANK(AJ37,$D37:$BA37)</f>
        <v>26</v>
      </c>
      <c r="AK51" s="461">
        <f t="shared" si="78"/>
        <v>1</v>
      </c>
      <c r="AL51" s="461">
        <f t="shared" si="78"/>
        <v>11</v>
      </c>
      <c r="AM51" s="461">
        <f t="shared" si="78"/>
        <v>23</v>
      </c>
      <c r="AN51" s="461">
        <f t="shared" si="78"/>
        <v>39</v>
      </c>
      <c r="AO51" s="461">
        <f t="shared" si="78"/>
        <v>6</v>
      </c>
      <c r="AP51" s="461">
        <f t="shared" si="78"/>
        <v>45</v>
      </c>
      <c r="AQ51" s="461">
        <f t="shared" si="78"/>
        <v>17</v>
      </c>
      <c r="AR51" s="461">
        <f t="shared" si="78"/>
        <v>22</v>
      </c>
      <c r="AS51" s="461">
        <f t="shared" si="78"/>
        <v>10</v>
      </c>
      <c r="AT51" s="461">
        <f t="shared" si="78"/>
        <v>37</v>
      </c>
      <c r="AU51" s="461">
        <f t="shared" si="78"/>
        <v>19</v>
      </c>
      <c r="AV51" s="461">
        <f t="shared" si="78"/>
        <v>45</v>
      </c>
      <c r="AW51" s="461">
        <f t="shared" si="78"/>
        <v>13</v>
      </c>
      <c r="AX51" s="461">
        <f t="shared" si="78"/>
        <v>42</v>
      </c>
      <c r="AY51" s="461">
        <f t="shared" si="78"/>
        <v>4</v>
      </c>
      <c r="AZ51" s="461">
        <f t="shared" si="78"/>
        <v>16</v>
      </c>
      <c r="BA51" s="461">
        <f t="shared" si="78"/>
        <v>2</v>
      </c>
    </row>
    <row r="52" spans="1:53" x14ac:dyDescent="0.2">
      <c r="A52" s="468"/>
      <c r="B52" s="83" t="s">
        <v>869</v>
      </c>
      <c r="C52" s="462">
        <f t="shared" si="76"/>
        <v>9.3205282112845136E-2</v>
      </c>
      <c r="D52" s="461">
        <f t="shared" ref="D52:AI52" si="79">RANK(D38,$D38:$BA38)</f>
        <v>24</v>
      </c>
      <c r="E52" s="461">
        <f t="shared" si="79"/>
        <v>1</v>
      </c>
      <c r="F52" s="461">
        <f t="shared" si="79"/>
        <v>47</v>
      </c>
      <c r="G52" s="461">
        <f t="shared" si="79"/>
        <v>23</v>
      </c>
      <c r="H52" s="461">
        <f t="shared" si="79"/>
        <v>30</v>
      </c>
      <c r="I52" s="461">
        <f t="shared" si="79"/>
        <v>13</v>
      </c>
      <c r="J52" s="461">
        <f t="shared" si="79"/>
        <v>37</v>
      </c>
      <c r="K52" s="461">
        <f t="shared" si="79"/>
        <v>29</v>
      </c>
      <c r="L52" s="461">
        <f t="shared" si="79"/>
        <v>49</v>
      </c>
      <c r="M52" s="461">
        <f t="shared" si="79"/>
        <v>39</v>
      </c>
      <c r="N52" s="461">
        <f t="shared" si="79"/>
        <v>50</v>
      </c>
      <c r="O52" s="461">
        <f t="shared" si="79"/>
        <v>28</v>
      </c>
      <c r="P52" s="461">
        <f t="shared" si="79"/>
        <v>16</v>
      </c>
      <c r="Q52" s="461">
        <f t="shared" si="79"/>
        <v>12</v>
      </c>
      <c r="R52" s="461">
        <f t="shared" si="79"/>
        <v>10</v>
      </c>
      <c r="S52" s="461">
        <f t="shared" si="79"/>
        <v>8</v>
      </c>
      <c r="T52" s="461">
        <f t="shared" si="79"/>
        <v>27</v>
      </c>
      <c r="U52" s="461">
        <f t="shared" si="79"/>
        <v>3</v>
      </c>
      <c r="V52" s="461">
        <f t="shared" si="79"/>
        <v>43</v>
      </c>
      <c r="W52" s="461">
        <f t="shared" si="79"/>
        <v>41</v>
      </c>
      <c r="X52" s="461">
        <f t="shared" si="79"/>
        <v>32</v>
      </c>
      <c r="Y52" s="461">
        <f t="shared" si="79"/>
        <v>17</v>
      </c>
      <c r="Z52" s="461">
        <f t="shared" si="79"/>
        <v>15</v>
      </c>
      <c r="AA52" s="461">
        <f t="shared" si="79"/>
        <v>20</v>
      </c>
      <c r="AB52" s="461">
        <f t="shared" si="79"/>
        <v>33</v>
      </c>
      <c r="AC52" s="461">
        <f t="shared" si="79"/>
        <v>14</v>
      </c>
      <c r="AD52" s="461">
        <f t="shared" si="79"/>
        <v>6</v>
      </c>
      <c r="AE52" s="461">
        <f t="shared" si="79"/>
        <v>40</v>
      </c>
      <c r="AF52" s="461">
        <f t="shared" si="79"/>
        <v>46</v>
      </c>
      <c r="AG52" s="461">
        <f t="shared" si="79"/>
        <v>26</v>
      </c>
      <c r="AH52" s="461">
        <f t="shared" si="79"/>
        <v>11</v>
      </c>
      <c r="AI52" s="461">
        <f t="shared" si="79"/>
        <v>31</v>
      </c>
      <c r="AJ52" s="461">
        <f t="shared" ref="AJ52:BA52" si="80">RANK(AJ38,$D38:$BA38)</f>
        <v>45</v>
      </c>
      <c r="AK52" s="461">
        <f t="shared" si="80"/>
        <v>5</v>
      </c>
      <c r="AL52" s="461">
        <f t="shared" si="80"/>
        <v>21</v>
      </c>
      <c r="AM52" s="461">
        <f t="shared" si="80"/>
        <v>4</v>
      </c>
      <c r="AN52" s="461">
        <f t="shared" si="80"/>
        <v>34</v>
      </c>
      <c r="AO52" s="461">
        <f t="shared" si="80"/>
        <v>25</v>
      </c>
      <c r="AP52" s="461">
        <f t="shared" si="80"/>
        <v>36</v>
      </c>
      <c r="AQ52" s="461">
        <f t="shared" si="80"/>
        <v>44</v>
      </c>
      <c r="AR52" s="461">
        <f t="shared" si="80"/>
        <v>9</v>
      </c>
      <c r="AS52" s="461">
        <f t="shared" si="80"/>
        <v>35</v>
      </c>
      <c r="AT52" s="461">
        <f t="shared" si="80"/>
        <v>7</v>
      </c>
      <c r="AU52" s="461">
        <f t="shared" si="80"/>
        <v>18</v>
      </c>
      <c r="AV52" s="461">
        <f t="shared" si="80"/>
        <v>48</v>
      </c>
      <c r="AW52" s="461">
        <f t="shared" si="80"/>
        <v>42</v>
      </c>
      <c r="AX52" s="461">
        <f t="shared" si="80"/>
        <v>38</v>
      </c>
      <c r="AY52" s="461">
        <f t="shared" si="80"/>
        <v>19</v>
      </c>
      <c r="AZ52" s="461">
        <f t="shared" si="80"/>
        <v>22</v>
      </c>
      <c r="BA52" s="461">
        <f t="shared" si="80"/>
        <v>2</v>
      </c>
    </row>
    <row r="53" spans="1:53" x14ac:dyDescent="0.2">
      <c r="A53" s="468"/>
      <c r="B53" s="83" t="s">
        <v>870</v>
      </c>
      <c r="C53" s="462">
        <f t="shared" si="76"/>
        <v>-0.20384153661464588</v>
      </c>
      <c r="D53" s="461">
        <f t="shared" ref="D53:AI53" si="81">RANK(D39,$D39:$BA39)</f>
        <v>20</v>
      </c>
      <c r="E53" s="461">
        <f t="shared" si="81"/>
        <v>2</v>
      </c>
      <c r="F53" s="461">
        <f t="shared" si="81"/>
        <v>47</v>
      </c>
      <c r="G53" s="461">
        <f t="shared" si="81"/>
        <v>21</v>
      </c>
      <c r="H53" s="461">
        <f t="shared" si="81"/>
        <v>39</v>
      </c>
      <c r="I53" s="461">
        <f t="shared" si="81"/>
        <v>37</v>
      </c>
      <c r="J53" s="461">
        <f t="shared" si="81"/>
        <v>41</v>
      </c>
      <c r="K53" s="461">
        <f t="shared" si="81"/>
        <v>24</v>
      </c>
      <c r="L53" s="461">
        <f t="shared" si="81"/>
        <v>43</v>
      </c>
      <c r="M53" s="461">
        <f t="shared" si="81"/>
        <v>30</v>
      </c>
      <c r="N53" s="461">
        <f t="shared" si="81"/>
        <v>17</v>
      </c>
      <c r="O53" s="461">
        <f t="shared" si="81"/>
        <v>29</v>
      </c>
      <c r="P53" s="461">
        <f t="shared" si="81"/>
        <v>35</v>
      </c>
      <c r="Q53" s="461">
        <f t="shared" si="81"/>
        <v>19</v>
      </c>
      <c r="R53" s="461">
        <f t="shared" si="81"/>
        <v>11</v>
      </c>
      <c r="S53" s="461">
        <f t="shared" si="81"/>
        <v>10</v>
      </c>
      <c r="T53" s="461">
        <f t="shared" si="81"/>
        <v>13</v>
      </c>
      <c r="U53" s="461">
        <f t="shared" si="81"/>
        <v>1</v>
      </c>
      <c r="V53" s="461">
        <f t="shared" si="81"/>
        <v>7</v>
      </c>
      <c r="W53" s="461">
        <f t="shared" si="81"/>
        <v>44</v>
      </c>
      <c r="X53" s="461">
        <f t="shared" si="81"/>
        <v>42</v>
      </c>
      <c r="Y53" s="461">
        <f t="shared" si="81"/>
        <v>46</v>
      </c>
      <c r="Z53" s="461">
        <f t="shared" si="81"/>
        <v>22</v>
      </c>
      <c r="AA53" s="461">
        <f t="shared" si="81"/>
        <v>12</v>
      </c>
      <c r="AB53" s="461">
        <f t="shared" si="81"/>
        <v>26</v>
      </c>
      <c r="AC53" s="461">
        <f t="shared" si="81"/>
        <v>6</v>
      </c>
      <c r="AD53" s="461">
        <f t="shared" si="81"/>
        <v>14</v>
      </c>
      <c r="AE53" s="461">
        <f t="shared" si="81"/>
        <v>48</v>
      </c>
      <c r="AF53" s="461">
        <f t="shared" si="81"/>
        <v>23</v>
      </c>
      <c r="AG53" s="461">
        <f t="shared" si="81"/>
        <v>15</v>
      </c>
      <c r="AH53" s="461">
        <f t="shared" si="81"/>
        <v>18</v>
      </c>
      <c r="AI53" s="461">
        <f t="shared" si="81"/>
        <v>50</v>
      </c>
      <c r="AJ53" s="461">
        <f t="shared" ref="AJ53:BA53" si="82">RANK(AJ39,$D39:$BA39)</f>
        <v>45</v>
      </c>
      <c r="AK53" s="461">
        <f t="shared" si="82"/>
        <v>4</v>
      </c>
      <c r="AL53" s="461">
        <f t="shared" si="82"/>
        <v>33</v>
      </c>
      <c r="AM53" s="461">
        <f t="shared" si="82"/>
        <v>9</v>
      </c>
      <c r="AN53" s="461">
        <f t="shared" si="82"/>
        <v>40</v>
      </c>
      <c r="AO53" s="461">
        <f t="shared" si="82"/>
        <v>34</v>
      </c>
      <c r="AP53" s="461">
        <f t="shared" si="82"/>
        <v>49</v>
      </c>
      <c r="AQ53" s="461">
        <f t="shared" si="82"/>
        <v>28</v>
      </c>
      <c r="AR53" s="461">
        <f t="shared" si="82"/>
        <v>8</v>
      </c>
      <c r="AS53" s="461">
        <f t="shared" si="82"/>
        <v>25</v>
      </c>
      <c r="AT53" s="461">
        <f t="shared" si="82"/>
        <v>5</v>
      </c>
      <c r="AU53" s="461">
        <f t="shared" si="82"/>
        <v>31</v>
      </c>
      <c r="AV53" s="461">
        <f t="shared" si="82"/>
        <v>16</v>
      </c>
      <c r="AW53" s="461">
        <f t="shared" si="82"/>
        <v>36</v>
      </c>
      <c r="AX53" s="461">
        <f t="shared" si="82"/>
        <v>27</v>
      </c>
      <c r="AY53" s="461">
        <f t="shared" si="82"/>
        <v>32</v>
      </c>
      <c r="AZ53" s="461">
        <f t="shared" si="82"/>
        <v>38</v>
      </c>
      <c r="BA53" s="461">
        <f t="shared" si="82"/>
        <v>3</v>
      </c>
    </row>
    <row r="54" spans="1:53" x14ac:dyDescent="0.2">
      <c r="A54" s="52"/>
      <c r="B54" s="214" t="s">
        <v>1044</v>
      </c>
      <c r="C54" s="462">
        <f t="shared" si="76"/>
        <v>1.8199279711884755E-2</v>
      </c>
      <c r="D54" s="461">
        <f t="shared" ref="D54:AI54" si="83">RANK(D40,$D40:$BA40)</f>
        <v>18</v>
      </c>
      <c r="E54" s="461">
        <f t="shared" si="83"/>
        <v>1</v>
      </c>
      <c r="F54" s="461">
        <f t="shared" si="83"/>
        <v>49</v>
      </c>
      <c r="G54" s="461">
        <f t="shared" si="83"/>
        <v>20</v>
      </c>
      <c r="H54" s="461">
        <f t="shared" si="83"/>
        <v>37</v>
      </c>
      <c r="I54" s="461">
        <f t="shared" si="83"/>
        <v>25</v>
      </c>
      <c r="J54" s="461">
        <f t="shared" si="83"/>
        <v>43</v>
      </c>
      <c r="K54" s="461">
        <f t="shared" si="83"/>
        <v>28</v>
      </c>
      <c r="L54" s="461">
        <f t="shared" si="83"/>
        <v>50</v>
      </c>
      <c r="M54" s="461">
        <f t="shared" si="83"/>
        <v>34</v>
      </c>
      <c r="N54" s="461">
        <f t="shared" si="83"/>
        <v>42</v>
      </c>
      <c r="O54" s="461">
        <f t="shared" si="83"/>
        <v>30</v>
      </c>
      <c r="P54" s="461">
        <f t="shared" si="83"/>
        <v>21</v>
      </c>
      <c r="Q54" s="461">
        <f t="shared" si="83"/>
        <v>9</v>
      </c>
      <c r="R54" s="461">
        <f t="shared" si="83"/>
        <v>7</v>
      </c>
      <c r="S54" s="461">
        <f t="shared" si="83"/>
        <v>12</v>
      </c>
      <c r="T54" s="461">
        <f t="shared" si="83"/>
        <v>16</v>
      </c>
      <c r="U54" s="461">
        <f t="shared" si="83"/>
        <v>2</v>
      </c>
      <c r="V54" s="461">
        <f t="shared" si="83"/>
        <v>24</v>
      </c>
      <c r="W54" s="461">
        <f t="shared" si="83"/>
        <v>44</v>
      </c>
      <c r="X54" s="461">
        <f t="shared" si="83"/>
        <v>40</v>
      </c>
      <c r="Y54" s="461">
        <f t="shared" si="83"/>
        <v>31</v>
      </c>
      <c r="Z54" s="461">
        <f t="shared" si="83"/>
        <v>17</v>
      </c>
      <c r="AA54" s="461">
        <f t="shared" si="83"/>
        <v>14</v>
      </c>
      <c r="AB54" s="461">
        <f t="shared" si="83"/>
        <v>32</v>
      </c>
      <c r="AC54" s="461">
        <f t="shared" si="83"/>
        <v>8</v>
      </c>
      <c r="AD54" s="461">
        <f t="shared" si="83"/>
        <v>11</v>
      </c>
      <c r="AE54" s="461">
        <f t="shared" si="83"/>
        <v>46</v>
      </c>
      <c r="AF54" s="461">
        <f t="shared" si="83"/>
        <v>39</v>
      </c>
      <c r="AG54" s="461">
        <f t="shared" si="83"/>
        <v>19</v>
      </c>
      <c r="AH54" s="461">
        <f t="shared" si="83"/>
        <v>13</v>
      </c>
      <c r="AI54" s="461">
        <f t="shared" si="83"/>
        <v>47</v>
      </c>
      <c r="AJ54" s="461">
        <f t="shared" ref="AJ54:BA54" si="84">RANK(AJ40,$D40:$BA40)</f>
        <v>48</v>
      </c>
      <c r="AK54" s="461">
        <f t="shared" si="84"/>
        <v>4</v>
      </c>
      <c r="AL54" s="461">
        <f t="shared" si="84"/>
        <v>22</v>
      </c>
      <c r="AM54" s="461">
        <f t="shared" si="84"/>
        <v>6</v>
      </c>
      <c r="AN54" s="461">
        <f t="shared" si="84"/>
        <v>41</v>
      </c>
      <c r="AO54" s="461">
        <f t="shared" si="84"/>
        <v>26</v>
      </c>
      <c r="AP54" s="461">
        <f t="shared" si="84"/>
        <v>45</v>
      </c>
      <c r="AQ54" s="461">
        <f t="shared" si="84"/>
        <v>36</v>
      </c>
      <c r="AR54" s="461">
        <f t="shared" si="84"/>
        <v>10</v>
      </c>
      <c r="AS54" s="461">
        <f t="shared" si="84"/>
        <v>29</v>
      </c>
      <c r="AT54" s="461">
        <f t="shared" si="84"/>
        <v>5</v>
      </c>
      <c r="AU54" s="461">
        <f t="shared" si="84"/>
        <v>23</v>
      </c>
      <c r="AV54" s="461">
        <f t="shared" si="84"/>
        <v>35</v>
      </c>
      <c r="AW54" s="461">
        <f t="shared" si="84"/>
        <v>38</v>
      </c>
      <c r="AX54" s="461">
        <f t="shared" si="84"/>
        <v>33</v>
      </c>
      <c r="AY54" s="461">
        <f t="shared" si="84"/>
        <v>15</v>
      </c>
      <c r="AZ54" s="461">
        <f t="shared" si="84"/>
        <v>27</v>
      </c>
      <c r="BA54" s="461">
        <f t="shared" si="84"/>
        <v>3</v>
      </c>
    </row>
    <row r="55" spans="1:53" x14ac:dyDescent="0.2">
      <c r="A55" s="52"/>
      <c r="B55" s="83" t="s">
        <v>791</v>
      </c>
      <c r="C55" s="462">
        <f t="shared" si="76"/>
        <v>1.8199279711884755E-2</v>
      </c>
      <c r="D55" s="461">
        <f t="shared" ref="D55:AI55" si="85">RANK(D41,$D41:$BA41)</f>
        <v>18</v>
      </c>
      <c r="E55" s="461">
        <f t="shared" si="85"/>
        <v>1</v>
      </c>
      <c r="F55" s="461">
        <f t="shared" si="85"/>
        <v>49</v>
      </c>
      <c r="G55" s="461">
        <f t="shared" si="85"/>
        <v>20</v>
      </c>
      <c r="H55" s="461">
        <f t="shared" si="85"/>
        <v>37</v>
      </c>
      <c r="I55" s="461">
        <f t="shared" si="85"/>
        <v>25</v>
      </c>
      <c r="J55" s="461">
        <f t="shared" si="85"/>
        <v>43</v>
      </c>
      <c r="K55" s="461">
        <f t="shared" si="85"/>
        <v>28</v>
      </c>
      <c r="L55" s="461">
        <f t="shared" si="85"/>
        <v>50</v>
      </c>
      <c r="M55" s="461">
        <f t="shared" si="85"/>
        <v>34</v>
      </c>
      <c r="N55" s="461">
        <f t="shared" si="85"/>
        <v>42</v>
      </c>
      <c r="O55" s="461">
        <f t="shared" si="85"/>
        <v>30</v>
      </c>
      <c r="P55" s="461">
        <f t="shared" si="85"/>
        <v>21</v>
      </c>
      <c r="Q55" s="461">
        <f t="shared" si="85"/>
        <v>9</v>
      </c>
      <c r="R55" s="461">
        <f t="shared" si="85"/>
        <v>7</v>
      </c>
      <c r="S55" s="461">
        <f t="shared" si="85"/>
        <v>12</v>
      </c>
      <c r="T55" s="461">
        <f t="shared" si="85"/>
        <v>16</v>
      </c>
      <c r="U55" s="461">
        <f t="shared" si="85"/>
        <v>2</v>
      </c>
      <c r="V55" s="461">
        <f t="shared" si="85"/>
        <v>24</v>
      </c>
      <c r="W55" s="461">
        <f t="shared" si="85"/>
        <v>44</v>
      </c>
      <c r="X55" s="461">
        <f t="shared" si="85"/>
        <v>40</v>
      </c>
      <c r="Y55" s="461">
        <f t="shared" si="85"/>
        <v>31</v>
      </c>
      <c r="Z55" s="461">
        <f t="shared" si="85"/>
        <v>17</v>
      </c>
      <c r="AA55" s="461">
        <f t="shared" si="85"/>
        <v>14</v>
      </c>
      <c r="AB55" s="461">
        <f t="shared" si="85"/>
        <v>32</v>
      </c>
      <c r="AC55" s="461">
        <f t="shared" si="85"/>
        <v>8</v>
      </c>
      <c r="AD55" s="461">
        <f t="shared" si="85"/>
        <v>11</v>
      </c>
      <c r="AE55" s="461">
        <f t="shared" si="85"/>
        <v>46</v>
      </c>
      <c r="AF55" s="461">
        <f t="shared" si="85"/>
        <v>39</v>
      </c>
      <c r="AG55" s="461">
        <f t="shared" si="85"/>
        <v>19</v>
      </c>
      <c r="AH55" s="461">
        <f t="shared" si="85"/>
        <v>13</v>
      </c>
      <c r="AI55" s="461">
        <f t="shared" si="85"/>
        <v>47</v>
      </c>
      <c r="AJ55" s="461">
        <f t="shared" ref="AJ55:BA55" si="86">RANK(AJ41,$D41:$BA41)</f>
        <v>48</v>
      </c>
      <c r="AK55" s="461">
        <f t="shared" si="86"/>
        <v>4</v>
      </c>
      <c r="AL55" s="461">
        <f t="shared" si="86"/>
        <v>22</v>
      </c>
      <c r="AM55" s="461">
        <f t="shared" si="86"/>
        <v>6</v>
      </c>
      <c r="AN55" s="461">
        <f t="shared" si="86"/>
        <v>41</v>
      </c>
      <c r="AO55" s="461">
        <f t="shared" si="86"/>
        <v>26</v>
      </c>
      <c r="AP55" s="461">
        <f t="shared" si="86"/>
        <v>45</v>
      </c>
      <c r="AQ55" s="461">
        <f t="shared" si="86"/>
        <v>36</v>
      </c>
      <c r="AR55" s="461">
        <f t="shared" si="86"/>
        <v>10</v>
      </c>
      <c r="AS55" s="461">
        <f t="shared" si="86"/>
        <v>29</v>
      </c>
      <c r="AT55" s="461">
        <f t="shared" si="86"/>
        <v>5</v>
      </c>
      <c r="AU55" s="461">
        <f t="shared" si="86"/>
        <v>23</v>
      </c>
      <c r="AV55" s="461">
        <f t="shared" si="86"/>
        <v>35</v>
      </c>
      <c r="AW55" s="461">
        <f t="shared" si="86"/>
        <v>38</v>
      </c>
      <c r="AX55" s="461">
        <f t="shared" si="86"/>
        <v>33</v>
      </c>
      <c r="AY55" s="461">
        <f t="shared" si="86"/>
        <v>15</v>
      </c>
      <c r="AZ55" s="461">
        <f t="shared" si="86"/>
        <v>27</v>
      </c>
      <c r="BA55" s="461">
        <f t="shared" si="86"/>
        <v>3</v>
      </c>
    </row>
    <row r="56" spans="1:53" x14ac:dyDescent="0.2">
      <c r="A56" s="468"/>
      <c r="B56" s="49" t="s">
        <v>1045</v>
      </c>
      <c r="C56" s="462">
        <f t="shared" si="76"/>
        <v>0.10866746698679472</v>
      </c>
      <c r="D56" s="461">
        <f t="shared" ref="D56:AI56" si="87">RANK(D42,$D42:$BA42)</f>
        <v>5</v>
      </c>
      <c r="E56" s="461">
        <f t="shared" si="87"/>
        <v>39</v>
      </c>
      <c r="F56" s="461">
        <f t="shared" si="87"/>
        <v>17</v>
      </c>
      <c r="G56" s="461">
        <f t="shared" si="87"/>
        <v>9</v>
      </c>
      <c r="H56" s="461">
        <f t="shared" si="87"/>
        <v>50</v>
      </c>
      <c r="I56" s="461">
        <f t="shared" si="87"/>
        <v>35</v>
      </c>
      <c r="J56" s="461">
        <f t="shared" si="87"/>
        <v>40</v>
      </c>
      <c r="K56" s="461">
        <f t="shared" si="87"/>
        <v>47</v>
      </c>
      <c r="L56" s="461">
        <f t="shared" si="87"/>
        <v>36</v>
      </c>
      <c r="M56" s="461">
        <f t="shared" si="87"/>
        <v>30</v>
      </c>
      <c r="N56" s="461">
        <f t="shared" si="87"/>
        <v>44</v>
      </c>
      <c r="O56" s="461">
        <f t="shared" si="87"/>
        <v>38</v>
      </c>
      <c r="P56" s="461">
        <f t="shared" si="87"/>
        <v>19</v>
      </c>
      <c r="Q56" s="461">
        <f t="shared" si="87"/>
        <v>10</v>
      </c>
      <c r="R56" s="461">
        <f t="shared" si="87"/>
        <v>12</v>
      </c>
      <c r="S56" s="461">
        <f t="shared" si="87"/>
        <v>16</v>
      </c>
      <c r="T56" s="461">
        <f t="shared" si="87"/>
        <v>6</v>
      </c>
      <c r="U56" s="461">
        <f t="shared" si="87"/>
        <v>14</v>
      </c>
      <c r="V56" s="461">
        <f t="shared" si="87"/>
        <v>41</v>
      </c>
      <c r="W56" s="461">
        <f t="shared" si="87"/>
        <v>43</v>
      </c>
      <c r="X56" s="461">
        <f t="shared" si="87"/>
        <v>49</v>
      </c>
      <c r="Y56" s="461">
        <f t="shared" si="87"/>
        <v>32</v>
      </c>
      <c r="Z56" s="461">
        <f t="shared" si="87"/>
        <v>34</v>
      </c>
      <c r="AA56" s="461">
        <f t="shared" si="87"/>
        <v>21</v>
      </c>
      <c r="AB56" s="461">
        <f t="shared" si="87"/>
        <v>18</v>
      </c>
      <c r="AC56" s="461">
        <f t="shared" si="87"/>
        <v>4</v>
      </c>
      <c r="AD56" s="461">
        <f t="shared" si="87"/>
        <v>8</v>
      </c>
      <c r="AE56" s="461">
        <f t="shared" si="87"/>
        <v>37</v>
      </c>
      <c r="AF56" s="461">
        <f t="shared" si="87"/>
        <v>23</v>
      </c>
      <c r="AG56" s="461">
        <f t="shared" si="87"/>
        <v>45</v>
      </c>
      <c r="AH56" s="461">
        <f t="shared" si="87"/>
        <v>13</v>
      </c>
      <c r="AI56" s="461">
        <f t="shared" si="87"/>
        <v>46</v>
      </c>
      <c r="AJ56" s="461">
        <f t="shared" ref="AJ56:BA56" si="88">RANK(AJ42,$D42:$BA42)</f>
        <v>29</v>
      </c>
      <c r="AK56" s="461">
        <f t="shared" si="88"/>
        <v>2</v>
      </c>
      <c r="AL56" s="461">
        <f t="shared" si="88"/>
        <v>31</v>
      </c>
      <c r="AM56" s="461">
        <f t="shared" si="88"/>
        <v>11</v>
      </c>
      <c r="AN56" s="461">
        <f t="shared" si="88"/>
        <v>25</v>
      </c>
      <c r="AO56" s="461">
        <f t="shared" si="88"/>
        <v>15</v>
      </c>
      <c r="AP56" s="461">
        <f t="shared" si="88"/>
        <v>48</v>
      </c>
      <c r="AQ56" s="461">
        <f t="shared" si="88"/>
        <v>7</v>
      </c>
      <c r="AR56" s="461">
        <f t="shared" si="88"/>
        <v>24</v>
      </c>
      <c r="AS56" s="461">
        <f t="shared" si="88"/>
        <v>27</v>
      </c>
      <c r="AT56" s="461">
        <f t="shared" si="88"/>
        <v>22</v>
      </c>
      <c r="AU56" s="461">
        <f t="shared" si="88"/>
        <v>26</v>
      </c>
      <c r="AV56" s="461">
        <f t="shared" si="88"/>
        <v>28</v>
      </c>
      <c r="AW56" s="461">
        <f t="shared" si="88"/>
        <v>42</v>
      </c>
      <c r="AX56" s="461">
        <f t="shared" si="88"/>
        <v>20</v>
      </c>
      <c r="AY56" s="461">
        <f t="shared" si="88"/>
        <v>3</v>
      </c>
      <c r="AZ56" s="461">
        <f t="shared" si="88"/>
        <v>33</v>
      </c>
      <c r="BA56" s="461">
        <f t="shared" si="88"/>
        <v>1</v>
      </c>
    </row>
    <row r="57" spans="1:53" x14ac:dyDescent="0.2">
      <c r="A57" s="468"/>
      <c r="B57" s="49" t="s">
        <v>1046</v>
      </c>
      <c r="C57" s="462">
        <f t="shared" si="76"/>
        <v>-0.35308401863181954</v>
      </c>
      <c r="D57" s="461">
        <f t="shared" ref="D57:AI57" si="89">RANK(D43,$D43:$BA43)</f>
        <v>11</v>
      </c>
      <c r="E57" s="461">
        <f t="shared" si="89"/>
        <v>10</v>
      </c>
      <c r="F57" s="461">
        <f t="shared" si="89"/>
        <v>14</v>
      </c>
      <c r="G57" s="461">
        <f t="shared" si="89"/>
        <v>17</v>
      </c>
      <c r="H57" s="461">
        <f t="shared" si="89"/>
        <v>16</v>
      </c>
      <c r="I57" s="461">
        <f t="shared" si="89"/>
        <v>24</v>
      </c>
      <c r="J57" s="461">
        <f t="shared" si="89"/>
        <v>35</v>
      </c>
      <c r="K57" s="461">
        <f t="shared" si="89"/>
        <v>49</v>
      </c>
      <c r="L57" s="461">
        <f t="shared" si="89"/>
        <v>46</v>
      </c>
      <c r="M57" s="461">
        <f t="shared" si="89"/>
        <v>30</v>
      </c>
      <c r="N57" s="461">
        <f t="shared" si="89"/>
        <v>42</v>
      </c>
      <c r="O57" s="461">
        <f t="shared" si="89"/>
        <v>4</v>
      </c>
      <c r="P57" s="461">
        <f t="shared" si="89"/>
        <v>44</v>
      </c>
      <c r="Q57" s="461">
        <f t="shared" si="89"/>
        <v>40</v>
      </c>
      <c r="R57" s="461">
        <f t="shared" si="89"/>
        <v>29</v>
      </c>
      <c r="S57" s="461">
        <f t="shared" si="89"/>
        <v>47</v>
      </c>
      <c r="T57" s="461">
        <f t="shared" si="89"/>
        <v>20</v>
      </c>
      <c r="U57" s="461">
        <f t="shared" si="89"/>
        <v>32</v>
      </c>
      <c r="V57" s="461">
        <f t="shared" si="89"/>
        <v>7</v>
      </c>
      <c r="W57" s="461">
        <f t="shared" si="89"/>
        <v>23</v>
      </c>
      <c r="X57" s="461">
        <f t="shared" si="89"/>
        <v>34</v>
      </c>
      <c r="Y57" s="461">
        <f t="shared" si="89"/>
        <v>37</v>
      </c>
      <c r="Z57" s="461">
        <f t="shared" si="89"/>
        <v>38</v>
      </c>
      <c r="AA57" s="461">
        <f t="shared" si="89"/>
        <v>49</v>
      </c>
      <c r="AB57" s="461">
        <f t="shared" si="89"/>
        <v>33</v>
      </c>
      <c r="AC57" s="461">
        <f t="shared" si="89"/>
        <v>2</v>
      </c>
      <c r="AD57" s="461">
        <f t="shared" si="89"/>
        <v>18</v>
      </c>
      <c r="AE57" s="461">
        <f t="shared" si="89"/>
        <v>19</v>
      </c>
      <c r="AF57" s="461">
        <f t="shared" si="89"/>
        <v>15</v>
      </c>
      <c r="AG57" s="461">
        <f t="shared" si="89"/>
        <v>48</v>
      </c>
      <c r="AH57" s="461">
        <f t="shared" si="89"/>
        <v>39</v>
      </c>
      <c r="AI57" s="461">
        <f t="shared" si="89"/>
        <v>13</v>
      </c>
      <c r="AJ57" s="461">
        <f t="shared" ref="AJ57:BA57" si="90">RANK(AJ43,$D43:$BA43)</f>
        <v>25</v>
      </c>
      <c r="AK57" s="461">
        <f t="shared" si="90"/>
        <v>6</v>
      </c>
      <c r="AL57" s="461">
        <f t="shared" si="90"/>
        <v>41</v>
      </c>
      <c r="AM57" s="461">
        <f t="shared" si="90"/>
        <v>26</v>
      </c>
      <c r="AN57" s="461">
        <f t="shared" si="90"/>
        <v>3</v>
      </c>
      <c r="AO57" s="461">
        <f t="shared" si="90"/>
        <v>31</v>
      </c>
      <c r="AP57" s="461">
        <f t="shared" si="90"/>
        <v>45</v>
      </c>
      <c r="AQ57" s="461">
        <f t="shared" si="90"/>
        <v>28</v>
      </c>
      <c r="AR57" s="461">
        <f t="shared" si="90"/>
        <v>5</v>
      </c>
      <c r="AS57" s="461">
        <f t="shared" si="90"/>
        <v>12</v>
      </c>
      <c r="AT57" s="461">
        <f t="shared" si="90"/>
        <v>43</v>
      </c>
      <c r="AU57" s="461">
        <f t="shared" si="90"/>
        <v>22</v>
      </c>
      <c r="AV57" s="461">
        <f t="shared" si="90"/>
        <v>8</v>
      </c>
      <c r="AW57" s="461">
        <f t="shared" si="90"/>
        <v>36</v>
      </c>
      <c r="AX57" s="461">
        <f t="shared" si="90"/>
        <v>1</v>
      </c>
      <c r="AY57" s="461">
        <f t="shared" si="90"/>
        <v>21</v>
      </c>
      <c r="AZ57" s="461">
        <f t="shared" si="90"/>
        <v>27</v>
      </c>
      <c r="BA57" s="461">
        <f t="shared" si="90"/>
        <v>9</v>
      </c>
    </row>
    <row r="58" spans="1:53" x14ac:dyDescent="0.2">
      <c r="A58" s="468"/>
      <c r="B58" s="49" t="s">
        <v>1047</v>
      </c>
      <c r="C58" s="462">
        <f t="shared" si="76"/>
        <v>0.15210854054657033</v>
      </c>
      <c r="D58" s="461">
        <f t="shared" ref="D58:AI58" si="91">RANK(D44,$D44:$BA44)</f>
        <v>15</v>
      </c>
      <c r="E58" s="461">
        <f t="shared" si="91"/>
        <v>15</v>
      </c>
      <c r="F58" s="461">
        <f t="shared" si="91"/>
        <v>5</v>
      </c>
      <c r="G58" s="461">
        <f t="shared" si="91"/>
        <v>15</v>
      </c>
      <c r="H58" s="461">
        <f t="shared" si="91"/>
        <v>3</v>
      </c>
      <c r="I58" s="461">
        <f t="shared" si="91"/>
        <v>4</v>
      </c>
      <c r="J58" s="461">
        <f t="shared" si="91"/>
        <v>15</v>
      </c>
      <c r="K58" s="461">
        <f t="shared" si="91"/>
        <v>6</v>
      </c>
      <c r="L58" s="461">
        <f t="shared" si="91"/>
        <v>8</v>
      </c>
      <c r="M58" s="461">
        <f t="shared" si="91"/>
        <v>15</v>
      </c>
      <c r="N58" s="461">
        <f t="shared" si="91"/>
        <v>15</v>
      </c>
      <c r="O58" s="461">
        <f t="shared" si="91"/>
        <v>15</v>
      </c>
      <c r="P58" s="461">
        <f t="shared" si="91"/>
        <v>13</v>
      </c>
      <c r="Q58" s="461">
        <f t="shared" si="91"/>
        <v>15</v>
      </c>
      <c r="R58" s="461">
        <f t="shared" si="91"/>
        <v>15</v>
      </c>
      <c r="S58" s="461">
        <f t="shared" si="91"/>
        <v>15</v>
      </c>
      <c r="T58" s="461">
        <f t="shared" si="91"/>
        <v>15</v>
      </c>
      <c r="U58" s="461">
        <f t="shared" si="91"/>
        <v>15</v>
      </c>
      <c r="V58" s="461">
        <f t="shared" si="91"/>
        <v>15</v>
      </c>
      <c r="W58" s="461">
        <f t="shared" si="91"/>
        <v>15</v>
      </c>
      <c r="X58" s="461">
        <f t="shared" si="91"/>
        <v>15</v>
      </c>
      <c r="Y58" s="461">
        <f t="shared" si="91"/>
        <v>15</v>
      </c>
      <c r="Z58" s="461">
        <f t="shared" si="91"/>
        <v>15</v>
      </c>
      <c r="AA58" s="461">
        <f t="shared" si="91"/>
        <v>15</v>
      </c>
      <c r="AB58" s="461">
        <f t="shared" si="91"/>
        <v>15</v>
      </c>
      <c r="AC58" s="461">
        <f t="shared" si="91"/>
        <v>15</v>
      </c>
      <c r="AD58" s="461">
        <f t="shared" si="91"/>
        <v>15</v>
      </c>
      <c r="AE58" s="461">
        <f t="shared" si="91"/>
        <v>1</v>
      </c>
      <c r="AF58" s="461">
        <f t="shared" si="91"/>
        <v>15</v>
      </c>
      <c r="AG58" s="461">
        <f t="shared" si="91"/>
        <v>7</v>
      </c>
      <c r="AH58" s="461">
        <f t="shared" si="91"/>
        <v>2</v>
      </c>
      <c r="AI58" s="461">
        <f t="shared" si="91"/>
        <v>14</v>
      </c>
      <c r="AJ58" s="461">
        <f t="shared" ref="AJ58:BA58" si="92">RANK(AJ44,$D44:$BA44)</f>
        <v>9</v>
      </c>
      <c r="AK58" s="461">
        <f t="shared" si="92"/>
        <v>15</v>
      </c>
      <c r="AL58" s="461">
        <f t="shared" si="92"/>
        <v>10</v>
      </c>
      <c r="AM58" s="461">
        <f t="shared" si="92"/>
        <v>15</v>
      </c>
      <c r="AN58" s="461">
        <f t="shared" si="92"/>
        <v>15</v>
      </c>
      <c r="AO58" s="461">
        <f t="shared" si="92"/>
        <v>11</v>
      </c>
      <c r="AP58" s="461">
        <f t="shared" si="92"/>
        <v>15</v>
      </c>
      <c r="AQ58" s="461">
        <f t="shared" si="92"/>
        <v>15</v>
      </c>
      <c r="AR58" s="461">
        <f t="shared" si="92"/>
        <v>15</v>
      </c>
      <c r="AS58" s="461">
        <f t="shared" si="92"/>
        <v>15</v>
      </c>
      <c r="AT58" s="461">
        <f t="shared" si="92"/>
        <v>12</v>
      </c>
      <c r="AU58" s="461">
        <f t="shared" si="92"/>
        <v>15</v>
      </c>
      <c r="AV58" s="461">
        <f t="shared" si="92"/>
        <v>15</v>
      </c>
      <c r="AW58" s="461">
        <f t="shared" si="92"/>
        <v>15</v>
      </c>
      <c r="AX58" s="461">
        <f t="shared" si="92"/>
        <v>15</v>
      </c>
      <c r="AY58" s="461">
        <f t="shared" si="92"/>
        <v>15</v>
      </c>
      <c r="AZ58" s="461">
        <f t="shared" si="92"/>
        <v>15</v>
      </c>
      <c r="BA58" s="461">
        <f t="shared" si="92"/>
        <v>15</v>
      </c>
    </row>
    <row r="59" spans="1:53" x14ac:dyDescent="0.2">
      <c r="A59" s="468"/>
      <c r="B59" s="49" t="s">
        <v>1048</v>
      </c>
      <c r="C59" s="462">
        <f t="shared" si="76"/>
        <v>-0.21946970964372511</v>
      </c>
      <c r="D59" s="461">
        <f t="shared" ref="D59:AI59" si="93">RANK(D45,$D45:$BA45)</f>
        <v>37</v>
      </c>
      <c r="E59" s="461">
        <f t="shared" si="93"/>
        <v>33</v>
      </c>
      <c r="F59" s="461">
        <f t="shared" si="93"/>
        <v>31</v>
      </c>
      <c r="G59" s="461">
        <f t="shared" si="93"/>
        <v>37</v>
      </c>
      <c r="H59" s="461">
        <f t="shared" si="93"/>
        <v>22</v>
      </c>
      <c r="I59" s="461">
        <f t="shared" si="93"/>
        <v>11</v>
      </c>
      <c r="J59" s="461">
        <f t="shared" si="93"/>
        <v>37</v>
      </c>
      <c r="K59" s="461">
        <f t="shared" si="93"/>
        <v>37</v>
      </c>
      <c r="L59" s="461">
        <f t="shared" si="93"/>
        <v>37</v>
      </c>
      <c r="M59" s="461">
        <f t="shared" si="93"/>
        <v>37</v>
      </c>
      <c r="N59" s="461">
        <f t="shared" si="93"/>
        <v>20</v>
      </c>
      <c r="O59" s="461">
        <f t="shared" si="93"/>
        <v>14</v>
      </c>
      <c r="P59" s="461">
        <f t="shared" si="93"/>
        <v>19</v>
      </c>
      <c r="Q59" s="461">
        <f t="shared" si="93"/>
        <v>18</v>
      </c>
      <c r="R59" s="461">
        <f t="shared" si="93"/>
        <v>3</v>
      </c>
      <c r="S59" s="461">
        <f t="shared" si="93"/>
        <v>6</v>
      </c>
      <c r="T59" s="461">
        <f t="shared" si="93"/>
        <v>37</v>
      </c>
      <c r="U59" s="461">
        <f t="shared" si="93"/>
        <v>37</v>
      </c>
      <c r="V59" s="461">
        <f t="shared" si="93"/>
        <v>17</v>
      </c>
      <c r="W59" s="461">
        <f t="shared" si="93"/>
        <v>30</v>
      </c>
      <c r="X59" s="461">
        <f t="shared" si="93"/>
        <v>35</v>
      </c>
      <c r="Y59" s="461">
        <f t="shared" si="93"/>
        <v>29</v>
      </c>
      <c r="Z59" s="461">
        <f t="shared" si="93"/>
        <v>8</v>
      </c>
      <c r="AA59" s="461">
        <f t="shared" si="93"/>
        <v>37</v>
      </c>
      <c r="AB59" s="461">
        <f t="shared" si="93"/>
        <v>24</v>
      </c>
      <c r="AC59" s="461">
        <f t="shared" si="93"/>
        <v>7</v>
      </c>
      <c r="AD59" s="461">
        <f t="shared" si="93"/>
        <v>16</v>
      </c>
      <c r="AE59" s="461">
        <f t="shared" si="93"/>
        <v>37</v>
      </c>
      <c r="AF59" s="461">
        <f t="shared" si="93"/>
        <v>28</v>
      </c>
      <c r="AG59" s="461">
        <f t="shared" si="93"/>
        <v>36</v>
      </c>
      <c r="AH59" s="461">
        <f t="shared" si="93"/>
        <v>12</v>
      </c>
      <c r="AI59" s="461">
        <f t="shared" si="93"/>
        <v>25</v>
      </c>
      <c r="AJ59" s="461">
        <f t="shared" ref="AJ59:BA59" si="94">RANK(AJ45,$D45:$BA45)</f>
        <v>37</v>
      </c>
      <c r="AK59" s="461">
        <f t="shared" si="94"/>
        <v>2</v>
      </c>
      <c r="AL59" s="461">
        <f t="shared" si="94"/>
        <v>32</v>
      </c>
      <c r="AM59" s="461">
        <f t="shared" si="94"/>
        <v>5</v>
      </c>
      <c r="AN59" s="461">
        <f t="shared" si="94"/>
        <v>9</v>
      </c>
      <c r="AO59" s="461">
        <f t="shared" si="94"/>
        <v>26</v>
      </c>
      <c r="AP59" s="461">
        <f t="shared" si="94"/>
        <v>37</v>
      </c>
      <c r="AQ59" s="461">
        <f t="shared" si="94"/>
        <v>37</v>
      </c>
      <c r="AR59" s="461">
        <f t="shared" si="94"/>
        <v>4</v>
      </c>
      <c r="AS59" s="461">
        <f t="shared" si="94"/>
        <v>34</v>
      </c>
      <c r="AT59" s="461">
        <f t="shared" si="94"/>
        <v>10</v>
      </c>
      <c r="AU59" s="461">
        <f t="shared" si="94"/>
        <v>23</v>
      </c>
      <c r="AV59" s="461">
        <f t="shared" si="94"/>
        <v>27</v>
      </c>
      <c r="AW59" s="461">
        <f t="shared" si="94"/>
        <v>37</v>
      </c>
      <c r="AX59" s="461">
        <f t="shared" si="94"/>
        <v>13</v>
      </c>
      <c r="AY59" s="461">
        <f t="shared" si="94"/>
        <v>15</v>
      </c>
      <c r="AZ59" s="461">
        <f t="shared" si="94"/>
        <v>21</v>
      </c>
      <c r="BA59" s="461">
        <f t="shared" si="94"/>
        <v>1</v>
      </c>
    </row>
    <row r="60" spans="1:53" x14ac:dyDescent="0.2">
      <c r="A60" s="52"/>
      <c r="B60" s="49" t="s">
        <v>1049</v>
      </c>
      <c r="C60" s="462">
        <f t="shared" si="76"/>
        <v>0.26972388955582233</v>
      </c>
      <c r="D60" s="461">
        <f t="shared" ref="D60:AI60" si="95">RANK(D46,$D46:$BA46)</f>
        <v>4</v>
      </c>
      <c r="E60" s="461">
        <f t="shared" si="95"/>
        <v>37</v>
      </c>
      <c r="F60" s="461">
        <f t="shared" si="95"/>
        <v>19</v>
      </c>
      <c r="G60" s="461">
        <f t="shared" si="95"/>
        <v>7</v>
      </c>
      <c r="H60" s="461">
        <f t="shared" si="95"/>
        <v>47</v>
      </c>
      <c r="I60" s="461">
        <f t="shared" si="95"/>
        <v>34</v>
      </c>
      <c r="J60" s="461">
        <f t="shared" si="95"/>
        <v>35</v>
      </c>
      <c r="K60" s="461">
        <f t="shared" si="95"/>
        <v>41</v>
      </c>
      <c r="L60" s="461">
        <f t="shared" si="95"/>
        <v>31</v>
      </c>
      <c r="M60" s="461">
        <f t="shared" si="95"/>
        <v>26</v>
      </c>
      <c r="N60" s="461">
        <f t="shared" si="95"/>
        <v>39</v>
      </c>
      <c r="O60" s="461">
        <f t="shared" si="95"/>
        <v>50</v>
      </c>
      <c r="P60" s="461">
        <f t="shared" si="95"/>
        <v>17</v>
      </c>
      <c r="Q60" s="461">
        <f t="shared" si="95"/>
        <v>9</v>
      </c>
      <c r="R60" s="461">
        <f t="shared" si="95"/>
        <v>20</v>
      </c>
      <c r="S60" s="461">
        <f t="shared" si="95"/>
        <v>15</v>
      </c>
      <c r="T60" s="461">
        <f t="shared" si="95"/>
        <v>5</v>
      </c>
      <c r="U60" s="461">
        <f t="shared" si="95"/>
        <v>11</v>
      </c>
      <c r="V60" s="461">
        <f t="shared" si="95"/>
        <v>43</v>
      </c>
      <c r="W60" s="461">
        <f t="shared" si="95"/>
        <v>40</v>
      </c>
      <c r="X60" s="461">
        <f t="shared" si="95"/>
        <v>45</v>
      </c>
      <c r="Y60" s="461">
        <f t="shared" si="95"/>
        <v>27</v>
      </c>
      <c r="Z60" s="461">
        <f t="shared" si="95"/>
        <v>32</v>
      </c>
      <c r="AA60" s="461">
        <f t="shared" si="95"/>
        <v>18</v>
      </c>
      <c r="AB60" s="461">
        <f t="shared" si="95"/>
        <v>16</v>
      </c>
      <c r="AC60" s="461">
        <f t="shared" si="95"/>
        <v>10</v>
      </c>
      <c r="AD60" s="461">
        <f t="shared" si="95"/>
        <v>8</v>
      </c>
      <c r="AE60" s="461">
        <f t="shared" si="95"/>
        <v>33</v>
      </c>
      <c r="AF60" s="461">
        <f t="shared" si="95"/>
        <v>22</v>
      </c>
      <c r="AG60" s="461">
        <f t="shared" si="95"/>
        <v>38</v>
      </c>
      <c r="AH60" s="461">
        <f t="shared" si="95"/>
        <v>12</v>
      </c>
      <c r="AI60" s="461">
        <f t="shared" si="95"/>
        <v>44</v>
      </c>
      <c r="AJ60" s="461">
        <f t="shared" ref="AJ60:BA60" si="96">RANK(AJ46,$D46:$BA46)</f>
        <v>25</v>
      </c>
      <c r="AK60" s="461">
        <f t="shared" si="96"/>
        <v>2</v>
      </c>
      <c r="AL60" s="461">
        <f t="shared" si="96"/>
        <v>24</v>
      </c>
      <c r="AM60" s="461">
        <f t="shared" si="96"/>
        <v>14</v>
      </c>
      <c r="AN60" s="461">
        <f t="shared" si="96"/>
        <v>48</v>
      </c>
      <c r="AO60" s="461">
        <f t="shared" si="96"/>
        <v>13</v>
      </c>
      <c r="AP60" s="461">
        <f t="shared" si="96"/>
        <v>42</v>
      </c>
      <c r="AQ60" s="461">
        <f t="shared" si="96"/>
        <v>6</v>
      </c>
      <c r="AR60" s="461">
        <f t="shared" si="96"/>
        <v>46</v>
      </c>
      <c r="AS60" s="461">
        <f t="shared" si="96"/>
        <v>28</v>
      </c>
      <c r="AT60" s="461">
        <f t="shared" si="96"/>
        <v>21</v>
      </c>
      <c r="AU60" s="461">
        <f t="shared" si="96"/>
        <v>23</v>
      </c>
      <c r="AV60" s="461">
        <f t="shared" si="96"/>
        <v>30</v>
      </c>
      <c r="AW60" s="461">
        <f t="shared" si="96"/>
        <v>36</v>
      </c>
      <c r="AX60" s="461">
        <f t="shared" si="96"/>
        <v>49</v>
      </c>
      <c r="AY60" s="461">
        <f t="shared" si="96"/>
        <v>3</v>
      </c>
      <c r="AZ60" s="461">
        <f t="shared" si="96"/>
        <v>29</v>
      </c>
      <c r="BA60" s="461">
        <f t="shared" si="96"/>
        <v>1</v>
      </c>
    </row>
    <row r="61" spans="1:53" x14ac:dyDescent="0.2">
      <c r="A61" s="52"/>
      <c r="B61" s="463" t="s">
        <v>997</v>
      </c>
      <c r="C61" s="462">
        <f t="shared" si="76"/>
        <v>0.26972388955582233</v>
      </c>
      <c r="D61" s="461">
        <f t="shared" ref="D61:AI61" si="97">RANK(D47,$D47:$BA47)</f>
        <v>4</v>
      </c>
      <c r="E61" s="461">
        <f t="shared" si="97"/>
        <v>37</v>
      </c>
      <c r="F61" s="461">
        <f t="shared" si="97"/>
        <v>19</v>
      </c>
      <c r="G61" s="461">
        <f t="shared" si="97"/>
        <v>7</v>
      </c>
      <c r="H61" s="461">
        <f t="shared" si="97"/>
        <v>47</v>
      </c>
      <c r="I61" s="461">
        <f t="shared" si="97"/>
        <v>34</v>
      </c>
      <c r="J61" s="461">
        <f t="shared" si="97"/>
        <v>35</v>
      </c>
      <c r="K61" s="461">
        <f t="shared" si="97"/>
        <v>41</v>
      </c>
      <c r="L61" s="461">
        <f t="shared" si="97"/>
        <v>31</v>
      </c>
      <c r="M61" s="461">
        <f t="shared" si="97"/>
        <v>26</v>
      </c>
      <c r="N61" s="461">
        <f t="shared" si="97"/>
        <v>39</v>
      </c>
      <c r="O61" s="461">
        <f t="shared" si="97"/>
        <v>50</v>
      </c>
      <c r="P61" s="461">
        <f t="shared" si="97"/>
        <v>17</v>
      </c>
      <c r="Q61" s="461">
        <f t="shared" si="97"/>
        <v>9</v>
      </c>
      <c r="R61" s="461">
        <f t="shared" si="97"/>
        <v>20</v>
      </c>
      <c r="S61" s="461">
        <f t="shared" si="97"/>
        <v>15</v>
      </c>
      <c r="T61" s="461">
        <f t="shared" si="97"/>
        <v>5</v>
      </c>
      <c r="U61" s="461">
        <f t="shared" si="97"/>
        <v>11</v>
      </c>
      <c r="V61" s="461">
        <f t="shared" si="97"/>
        <v>43</v>
      </c>
      <c r="W61" s="461">
        <f t="shared" si="97"/>
        <v>40</v>
      </c>
      <c r="X61" s="461">
        <f t="shared" si="97"/>
        <v>45</v>
      </c>
      <c r="Y61" s="461">
        <f t="shared" si="97"/>
        <v>27</v>
      </c>
      <c r="Z61" s="461">
        <f t="shared" si="97"/>
        <v>32</v>
      </c>
      <c r="AA61" s="461">
        <f t="shared" si="97"/>
        <v>18</v>
      </c>
      <c r="AB61" s="461">
        <f t="shared" si="97"/>
        <v>16</v>
      </c>
      <c r="AC61" s="461">
        <f t="shared" si="97"/>
        <v>10</v>
      </c>
      <c r="AD61" s="461">
        <f t="shared" si="97"/>
        <v>8</v>
      </c>
      <c r="AE61" s="461">
        <f t="shared" si="97"/>
        <v>33</v>
      </c>
      <c r="AF61" s="461">
        <f t="shared" si="97"/>
        <v>22</v>
      </c>
      <c r="AG61" s="461">
        <f t="shared" si="97"/>
        <v>38</v>
      </c>
      <c r="AH61" s="461">
        <f t="shared" si="97"/>
        <v>12</v>
      </c>
      <c r="AI61" s="461">
        <f t="shared" si="97"/>
        <v>44</v>
      </c>
      <c r="AJ61" s="461">
        <f t="shared" ref="AJ61:BA61" si="98">RANK(AJ47,$D47:$BA47)</f>
        <v>25</v>
      </c>
      <c r="AK61" s="461">
        <f t="shared" si="98"/>
        <v>2</v>
      </c>
      <c r="AL61" s="461">
        <f t="shared" si="98"/>
        <v>24</v>
      </c>
      <c r="AM61" s="461">
        <f t="shared" si="98"/>
        <v>14</v>
      </c>
      <c r="AN61" s="461">
        <f t="shared" si="98"/>
        <v>48</v>
      </c>
      <c r="AO61" s="461">
        <f t="shared" si="98"/>
        <v>13</v>
      </c>
      <c r="AP61" s="461">
        <f t="shared" si="98"/>
        <v>42</v>
      </c>
      <c r="AQ61" s="461">
        <f t="shared" si="98"/>
        <v>6</v>
      </c>
      <c r="AR61" s="461">
        <f t="shared" si="98"/>
        <v>46</v>
      </c>
      <c r="AS61" s="461">
        <f t="shared" si="98"/>
        <v>28</v>
      </c>
      <c r="AT61" s="461">
        <f t="shared" si="98"/>
        <v>21</v>
      </c>
      <c r="AU61" s="461">
        <f t="shared" si="98"/>
        <v>23</v>
      </c>
      <c r="AV61" s="461">
        <f t="shared" si="98"/>
        <v>30</v>
      </c>
      <c r="AW61" s="461">
        <f t="shared" si="98"/>
        <v>36</v>
      </c>
      <c r="AX61" s="461">
        <f t="shared" si="98"/>
        <v>49</v>
      </c>
      <c r="AY61" s="461">
        <f t="shared" si="98"/>
        <v>3</v>
      </c>
      <c r="AZ61" s="461">
        <f t="shared" si="98"/>
        <v>29</v>
      </c>
      <c r="BA61" s="461">
        <f t="shared" si="98"/>
        <v>1</v>
      </c>
    </row>
    <row r="62" spans="1:53" x14ac:dyDescent="0.2">
      <c r="A62" s="52"/>
      <c r="B62" s="72" t="s">
        <v>793</v>
      </c>
      <c r="C62" s="462">
        <f t="shared" si="76"/>
        <v>0.26972388955582233</v>
      </c>
      <c r="D62" s="461">
        <f t="shared" ref="D62:AI62" si="99">RANK(D48,$D48:$BA48)</f>
        <v>4</v>
      </c>
      <c r="E62" s="461">
        <f t="shared" si="99"/>
        <v>37</v>
      </c>
      <c r="F62" s="461">
        <f t="shared" si="99"/>
        <v>19</v>
      </c>
      <c r="G62" s="461">
        <f t="shared" si="99"/>
        <v>7</v>
      </c>
      <c r="H62" s="461">
        <f t="shared" si="99"/>
        <v>47</v>
      </c>
      <c r="I62" s="461">
        <f t="shared" si="99"/>
        <v>34</v>
      </c>
      <c r="J62" s="461">
        <f t="shared" si="99"/>
        <v>35</v>
      </c>
      <c r="K62" s="461">
        <f t="shared" si="99"/>
        <v>41</v>
      </c>
      <c r="L62" s="461">
        <f t="shared" si="99"/>
        <v>31</v>
      </c>
      <c r="M62" s="461">
        <f t="shared" si="99"/>
        <v>26</v>
      </c>
      <c r="N62" s="461">
        <f t="shared" si="99"/>
        <v>39</v>
      </c>
      <c r="O62" s="461">
        <f t="shared" si="99"/>
        <v>50</v>
      </c>
      <c r="P62" s="461">
        <f t="shared" si="99"/>
        <v>17</v>
      </c>
      <c r="Q62" s="461">
        <f t="shared" si="99"/>
        <v>9</v>
      </c>
      <c r="R62" s="461">
        <f t="shared" si="99"/>
        <v>20</v>
      </c>
      <c r="S62" s="461">
        <f t="shared" si="99"/>
        <v>15</v>
      </c>
      <c r="T62" s="461">
        <f t="shared" si="99"/>
        <v>5</v>
      </c>
      <c r="U62" s="461">
        <f t="shared" si="99"/>
        <v>11</v>
      </c>
      <c r="V62" s="461">
        <f t="shared" si="99"/>
        <v>43</v>
      </c>
      <c r="W62" s="461">
        <f t="shared" si="99"/>
        <v>40</v>
      </c>
      <c r="X62" s="461">
        <f t="shared" si="99"/>
        <v>45</v>
      </c>
      <c r="Y62" s="461">
        <f t="shared" si="99"/>
        <v>27</v>
      </c>
      <c r="Z62" s="461">
        <f t="shared" si="99"/>
        <v>32</v>
      </c>
      <c r="AA62" s="461">
        <f t="shared" si="99"/>
        <v>18</v>
      </c>
      <c r="AB62" s="461">
        <f t="shared" si="99"/>
        <v>16</v>
      </c>
      <c r="AC62" s="461">
        <f t="shared" si="99"/>
        <v>10</v>
      </c>
      <c r="AD62" s="461">
        <f t="shared" si="99"/>
        <v>8</v>
      </c>
      <c r="AE62" s="461">
        <f t="shared" si="99"/>
        <v>33</v>
      </c>
      <c r="AF62" s="461">
        <f t="shared" si="99"/>
        <v>22</v>
      </c>
      <c r="AG62" s="461">
        <f t="shared" si="99"/>
        <v>38</v>
      </c>
      <c r="AH62" s="461">
        <f t="shared" si="99"/>
        <v>12</v>
      </c>
      <c r="AI62" s="461">
        <f t="shared" si="99"/>
        <v>44</v>
      </c>
      <c r="AJ62" s="461">
        <f t="shared" ref="AJ62:BA62" si="100">RANK(AJ48,$D48:$BA48)</f>
        <v>25</v>
      </c>
      <c r="AK62" s="461">
        <f t="shared" si="100"/>
        <v>2</v>
      </c>
      <c r="AL62" s="461">
        <f t="shared" si="100"/>
        <v>24</v>
      </c>
      <c r="AM62" s="461">
        <f t="shared" si="100"/>
        <v>14</v>
      </c>
      <c r="AN62" s="461">
        <f t="shared" si="100"/>
        <v>48</v>
      </c>
      <c r="AO62" s="461">
        <f t="shared" si="100"/>
        <v>13</v>
      </c>
      <c r="AP62" s="461">
        <f t="shared" si="100"/>
        <v>42</v>
      </c>
      <c r="AQ62" s="461">
        <f t="shared" si="100"/>
        <v>6</v>
      </c>
      <c r="AR62" s="461">
        <f t="shared" si="100"/>
        <v>46</v>
      </c>
      <c r="AS62" s="461">
        <f t="shared" si="100"/>
        <v>28</v>
      </c>
      <c r="AT62" s="461">
        <f t="shared" si="100"/>
        <v>21</v>
      </c>
      <c r="AU62" s="461">
        <f t="shared" si="100"/>
        <v>23</v>
      </c>
      <c r="AV62" s="461">
        <f t="shared" si="100"/>
        <v>30</v>
      </c>
      <c r="AW62" s="461">
        <f t="shared" si="100"/>
        <v>36</v>
      </c>
      <c r="AX62" s="461">
        <f t="shared" si="100"/>
        <v>49</v>
      </c>
      <c r="AY62" s="461">
        <f t="shared" si="100"/>
        <v>3</v>
      </c>
      <c r="AZ62" s="461">
        <f t="shared" si="100"/>
        <v>29</v>
      </c>
      <c r="BA62" s="461">
        <f t="shared" si="100"/>
        <v>1</v>
      </c>
    </row>
    <row r="63" spans="1:53" x14ac:dyDescent="0.2">
      <c r="A63" s="52"/>
      <c r="B63" s="72"/>
      <c r="C63" s="462"/>
      <c r="D63" s="461"/>
      <c r="E63" s="461"/>
      <c r="F63" s="461"/>
      <c r="G63" s="461"/>
      <c r="H63" s="461"/>
      <c r="I63" s="461"/>
      <c r="J63" s="461"/>
      <c r="K63" s="461"/>
      <c r="L63" s="461"/>
      <c r="M63" s="461"/>
      <c r="N63" s="461"/>
      <c r="O63" s="461"/>
      <c r="P63" s="461"/>
      <c r="Q63" s="461"/>
      <c r="R63" s="461"/>
      <c r="S63" s="461"/>
      <c r="T63" s="461"/>
      <c r="U63" s="461"/>
      <c r="V63" s="461"/>
      <c r="W63" s="461"/>
      <c r="X63" s="461"/>
      <c r="Y63" s="461"/>
      <c r="Z63" s="461"/>
      <c r="AA63" s="461"/>
      <c r="AB63" s="461"/>
      <c r="AC63" s="461"/>
      <c r="AD63" s="461"/>
      <c r="AE63" s="461"/>
      <c r="AF63" s="461"/>
      <c r="AG63" s="461"/>
      <c r="AH63" s="461"/>
      <c r="AI63" s="461"/>
      <c r="AJ63" s="461"/>
      <c r="AK63" s="461"/>
      <c r="AL63" s="461"/>
      <c r="AM63" s="461"/>
      <c r="AN63" s="461"/>
      <c r="AO63" s="461"/>
      <c r="AP63" s="461"/>
      <c r="AQ63" s="461"/>
      <c r="AR63" s="461"/>
      <c r="AS63" s="461"/>
      <c r="AT63" s="461"/>
      <c r="AU63" s="461"/>
      <c r="AV63" s="461"/>
      <c r="AW63" s="461"/>
      <c r="AX63" s="461"/>
      <c r="AY63" s="461"/>
      <c r="AZ63" s="461"/>
      <c r="BA63" s="461"/>
    </row>
    <row r="64" spans="1:53" x14ac:dyDescent="0.2">
      <c r="A64" s="52"/>
      <c r="B64" s="465" t="s">
        <v>110</v>
      </c>
      <c r="C64" s="462"/>
      <c r="D64" s="3" t="s">
        <v>39</v>
      </c>
      <c r="E64" s="3" t="s">
        <v>40</v>
      </c>
      <c r="F64" s="3" t="s">
        <v>41</v>
      </c>
      <c r="G64" s="3" t="s">
        <v>42</v>
      </c>
      <c r="H64" s="3" t="s">
        <v>43</v>
      </c>
      <c r="I64" s="3" t="s">
        <v>44</v>
      </c>
      <c r="J64" s="3" t="s">
        <v>45</v>
      </c>
      <c r="K64" s="3" t="s">
        <v>46</v>
      </c>
      <c r="L64" s="3" t="s">
        <v>47</v>
      </c>
      <c r="M64" s="3" t="s">
        <v>48</v>
      </c>
      <c r="N64" s="3" t="s">
        <v>49</v>
      </c>
      <c r="O64" s="3" t="s">
        <v>50</v>
      </c>
      <c r="P64" s="3" t="s">
        <v>51</v>
      </c>
      <c r="Q64" s="3" t="s">
        <v>52</v>
      </c>
      <c r="R64" s="3" t="s">
        <v>53</v>
      </c>
      <c r="S64" s="3" t="s">
        <v>54</v>
      </c>
      <c r="T64" s="3" t="s">
        <v>55</v>
      </c>
      <c r="U64" s="3" t="s">
        <v>56</v>
      </c>
      <c r="V64" s="3" t="s">
        <v>57</v>
      </c>
      <c r="W64" s="3" t="s">
        <v>58</v>
      </c>
      <c r="X64" s="3" t="s">
        <v>59</v>
      </c>
      <c r="Y64" s="3" t="s">
        <v>60</v>
      </c>
      <c r="Z64" s="3" t="s">
        <v>61</v>
      </c>
      <c r="AA64" s="3" t="s">
        <v>62</v>
      </c>
      <c r="AB64" s="3" t="s">
        <v>63</v>
      </c>
      <c r="AC64" s="3" t="s">
        <v>64</v>
      </c>
      <c r="AD64" s="3" t="s">
        <v>65</v>
      </c>
      <c r="AE64" s="3" t="s">
        <v>66</v>
      </c>
      <c r="AF64" s="3" t="s">
        <v>67</v>
      </c>
      <c r="AG64" s="3" t="s">
        <v>68</v>
      </c>
      <c r="AH64" s="3" t="s">
        <v>69</v>
      </c>
      <c r="AI64" s="3" t="s">
        <v>70</v>
      </c>
      <c r="AJ64" s="3" t="s">
        <v>71</v>
      </c>
      <c r="AK64" s="3" t="s">
        <v>72</v>
      </c>
      <c r="AL64" s="3" t="s">
        <v>73</v>
      </c>
      <c r="AM64" s="3" t="s">
        <v>74</v>
      </c>
      <c r="AN64" s="3" t="s">
        <v>75</v>
      </c>
      <c r="AO64" s="3" t="s">
        <v>76</v>
      </c>
      <c r="AP64" s="3" t="s">
        <v>77</v>
      </c>
      <c r="AQ64" s="3" t="s">
        <v>78</v>
      </c>
      <c r="AR64" s="3" t="s">
        <v>79</v>
      </c>
      <c r="AS64" s="3" t="s">
        <v>80</v>
      </c>
      <c r="AT64" s="3" t="s">
        <v>81</v>
      </c>
      <c r="AU64" s="3" t="s">
        <v>82</v>
      </c>
      <c r="AV64" s="3" t="s">
        <v>83</v>
      </c>
      <c r="AW64" s="3" t="s">
        <v>84</v>
      </c>
      <c r="AX64" s="3" t="s">
        <v>85</v>
      </c>
      <c r="AY64" s="3" t="s">
        <v>86</v>
      </c>
      <c r="AZ64" s="3" t="s">
        <v>87</v>
      </c>
      <c r="BA64" s="3" t="s">
        <v>88</v>
      </c>
    </row>
    <row r="65" spans="1:53" x14ac:dyDescent="0.2">
      <c r="A65" s="468"/>
      <c r="B65" s="83" t="s">
        <v>868</v>
      </c>
      <c r="C65" s="462"/>
      <c r="D65" s="467">
        <f t="shared" ref="D65:AI65" si="101">D37/AVERAGE($D37:$BA37)</f>
        <v>1.4652247533610361</v>
      </c>
      <c r="E65" s="467">
        <f t="shared" si="101"/>
        <v>1.423322974569974</v>
      </c>
      <c r="F65" s="467">
        <f t="shared" si="101"/>
        <v>0.1676912562993943</v>
      </c>
      <c r="G65" s="467">
        <f t="shared" si="101"/>
        <v>0.20667342931080149</v>
      </c>
      <c r="H65" s="467">
        <f t="shared" si="101"/>
        <v>0.10245383227256946</v>
      </c>
      <c r="I65" s="467">
        <f t="shared" si="101"/>
        <v>0.13778172500412333</v>
      </c>
      <c r="J65" s="467">
        <f t="shared" si="101"/>
        <v>0</v>
      </c>
      <c r="K65" s="467">
        <f t="shared" si="101"/>
        <v>0</v>
      </c>
      <c r="L65" s="467">
        <f t="shared" si="101"/>
        <v>7.1610239043711665E-2</v>
      </c>
      <c r="M65" s="467">
        <f t="shared" si="101"/>
        <v>0.32604575436129735</v>
      </c>
      <c r="N65" s="467">
        <f t="shared" si="101"/>
        <v>0.1023028925742142</v>
      </c>
      <c r="O65" s="467">
        <f t="shared" si="101"/>
        <v>0.5341264107345981</v>
      </c>
      <c r="P65" s="467">
        <f t="shared" si="101"/>
        <v>0.96056235755513142</v>
      </c>
      <c r="Q65" s="467">
        <f t="shared" si="101"/>
        <v>4.0159394122225152</v>
      </c>
      <c r="R65" s="467">
        <f t="shared" si="101"/>
        <v>2.6899581008622677</v>
      </c>
      <c r="S65" s="467">
        <f t="shared" si="101"/>
        <v>9.4456997877107582E-2</v>
      </c>
      <c r="T65" s="467">
        <f t="shared" si="101"/>
        <v>1.2169306200003469</v>
      </c>
      <c r="U65" s="467">
        <f t="shared" si="101"/>
        <v>3.0818315743452066E-2</v>
      </c>
      <c r="V65" s="467">
        <f t="shared" si="101"/>
        <v>4.0815817061155571E-2</v>
      </c>
      <c r="W65" s="467">
        <f t="shared" si="101"/>
        <v>0.41415058419206674</v>
      </c>
      <c r="X65" s="467">
        <f t="shared" si="101"/>
        <v>2.7904795885481806E-2</v>
      </c>
      <c r="Y65" s="467">
        <f t="shared" si="101"/>
        <v>0.7763142228990737</v>
      </c>
      <c r="Z65" s="467">
        <f t="shared" si="101"/>
        <v>0.51514997200907409</v>
      </c>
      <c r="AA65" s="467">
        <f t="shared" si="101"/>
        <v>9.4702682887047057E-2</v>
      </c>
      <c r="AB65" s="467">
        <f t="shared" si="101"/>
        <v>0.27433231797514424</v>
      </c>
      <c r="AC65" s="467">
        <f t="shared" si="101"/>
        <v>0.16305723912396378</v>
      </c>
      <c r="AD65" s="467">
        <f t="shared" si="101"/>
        <v>1.1244056175908066</v>
      </c>
      <c r="AE65" s="467">
        <f t="shared" si="101"/>
        <v>9.9678401953391393E-2</v>
      </c>
      <c r="AF65" s="467">
        <f t="shared" si="101"/>
        <v>0</v>
      </c>
      <c r="AG65" s="467">
        <f t="shared" si="101"/>
        <v>0</v>
      </c>
      <c r="AH65" s="467">
        <f t="shared" si="101"/>
        <v>2.6086634489918027E-2</v>
      </c>
      <c r="AI65" s="467">
        <f t="shared" si="101"/>
        <v>0.1445896412281005</v>
      </c>
      <c r="AJ65" s="467">
        <f t="shared" ref="AJ65:BA65" si="102">AJ37/AVERAGE($D37:$BA37)</f>
        <v>0.27081612818076239</v>
      </c>
      <c r="AK65" s="467">
        <f t="shared" si="102"/>
        <v>14.935522725875279</v>
      </c>
      <c r="AL65" s="467">
        <f t="shared" si="102"/>
        <v>1.1267041953128241</v>
      </c>
      <c r="AM65" s="467">
        <f t="shared" si="102"/>
        <v>0.33817897620584059</v>
      </c>
      <c r="AN65" s="467">
        <f t="shared" si="102"/>
        <v>5.0465521018043427E-2</v>
      </c>
      <c r="AO65" s="467">
        <f t="shared" si="102"/>
        <v>1.570949190293158</v>
      </c>
      <c r="AP65" s="467">
        <f t="shared" si="102"/>
        <v>0</v>
      </c>
      <c r="AQ65" s="467">
        <f t="shared" si="102"/>
        <v>0.54070729869785583</v>
      </c>
      <c r="AR65" s="467">
        <f t="shared" si="102"/>
        <v>0.40820984994106835</v>
      </c>
      <c r="AS65" s="467">
        <f t="shared" si="102"/>
        <v>1.1641947861072581</v>
      </c>
      <c r="AT65" s="467">
        <f t="shared" si="102"/>
        <v>8.335313255096144E-2</v>
      </c>
      <c r="AU65" s="467">
        <f t="shared" si="102"/>
        <v>0.5317847460113504</v>
      </c>
      <c r="AV65" s="467">
        <f t="shared" si="102"/>
        <v>0</v>
      </c>
      <c r="AW65" s="467">
        <f t="shared" si="102"/>
        <v>0.97285660803962137</v>
      </c>
      <c r="AX65" s="467">
        <f t="shared" si="102"/>
        <v>3.0199215958344332E-2</v>
      </c>
      <c r="AY65" s="467">
        <f t="shared" si="102"/>
        <v>3.7009717365447212</v>
      </c>
      <c r="AZ65" s="467">
        <f t="shared" si="102"/>
        <v>0.7008686462995839</v>
      </c>
      <c r="BA65" s="467">
        <f t="shared" si="102"/>
        <v>6.3271302438755663</v>
      </c>
    </row>
    <row r="66" spans="1:53" x14ac:dyDescent="0.2">
      <c r="A66" s="468"/>
      <c r="B66" s="83" t="s">
        <v>869</v>
      </c>
      <c r="C66" s="462"/>
      <c r="D66" s="467">
        <f t="shared" ref="D66:AI66" si="103">D38/AVERAGE($D38:$BA38)</f>
        <v>0.80280216837761564</v>
      </c>
      <c r="E66" s="467">
        <f t="shared" si="103"/>
        <v>5.9157261062840263</v>
      </c>
      <c r="F66" s="467">
        <f t="shared" si="103"/>
        <v>0.24669527225564794</v>
      </c>
      <c r="G66" s="467">
        <f t="shared" si="103"/>
        <v>0.8870888602810908</v>
      </c>
      <c r="H66" s="467">
        <f t="shared" si="103"/>
        <v>0.60402745221725018</v>
      </c>
      <c r="I66" s="467">
        <f t="shared" si="103"/>
        <v>1.1030762917868797</v>
      </c>
      <c r="J66" s="467">
        <f t="shared" si="103"/>
        <v>0.50721223206731147</v>
      </c>
      <c r="K66" s="467">
        <f t="shared" si="103"/>
        <v>0.67041720865656595</v>
      </c>
      <c r="L66" s="467">
        <f t="shared" si="103"/>
        <v>0.13493243695474111</v>
      </c>
      <c r="M66" s="467">
        <f t="shared" si="103"/>
        <v>0.49119062941562863</v>
      </c>
      <c r="N66" s="467">
        <f t="shared" si="103"/>
        <v>2.1087380033282602E-3</v>
      </c>
      <c r="O66" s="467">
        <f t="shared" si="103"/>
        <v>0.69269885531390274</v>
      </c>
      <c r="P66" s="467">
        <f t="shared" si="103"/>
        <v>1.0598703575503898</v>
      </c>
      <c r="Q66" s="467">
        <f t="shared" si="103"/>
        <v>1.2241939890979172</v>
      </c>
      <c r="R66" s="467">
        <f t="shared" si="103"/>
        <v>1.2690130855404962</v>
      </c>
      <c r="S66" s="467">
        <f t="shared" si="103"/>
        <v>1.2837824873240615</v>
      </c>
      <c r="T66" s="467">
        <f t="shared" si="103"/>
        <v>0.70775883081380608</v>
      </c>
      <c r="U66" s="467">
        <f t="shared" si="103"/>
        <v>3.8207017830358039</v>
      </c>
      <c r="V66" s="467">
        <f t="shared" si="103"/>
        <v>0.42327003447768946</v>
      </c>
      <c r="W66" s="467">
        <f t="shared" si="103"/>
        <v>0.44167197249430867</v>
      </c>
      <c r="X66" s="467">
        <f t="shared" si="103"/>
        <v>0.5894036092244781</v>
      </c>
      <c r="Y66" s="467">
        <f t="shared" si="103"/>
        <v>0.98981078163197067</v>
      </c>
      <c r="Z66" s="467">
        <f t="shared" si="103"/>
        <v>1.0774353583278662</v>
      </c>
      <c r="AA66" s="467">
        <f t="shared" si="103"/>
        <v>0.94529339514270938</v>
      </c>
      <c r="AB66" s="467">
        <f t="shared" si="103"/>
        <v>0.57189012610454992</v>
      </c>
      <c r="AC66" s="467">
        <f t="shared" si="103"/>
        <v>1.0879714412996586</v>
      </c>
      <c r="AD66" s="467">
        <f t="shared" si="103"/>
        <v>1.3361373785485939</v>
      </c>
      <c r="AE66" s="467">
        <f t="shared" si="103"/>
        <v>0.47864897791984862</v>
      </c>
      <c r="AF66" s="467">
        <f t="shared" si="103"/>
        <v>0.25581068207370095</v>
      </c>
      <c r="AG66" s="467">
        <f t="shared" si="103"/>
        <v>0.77728595958819424</v>
      </c>
      <c r="AH66" s="467">
        <f t="shared" si="103"/>
        <v>1.2365849309584711</v>
      </c>
      <c r="AI66" s="467">
        <f t="shared" si="103"/>
        <v>0.59853515973166549</v>
      </c>
      <c r="AJ66" s="467">
        <f t="shared" ref="AJ66:BA66" si="104">AJ38/AVERAGE($D38:$BA38)</f>
        <v>0.33273449266333532</v>
      </c>
      <c r="AK66" s="467">
        <f t="shared" si="104"/>
        <v>1.5300022417002839</v>
      </c>
      <c r="AL66" s="467">
        <f t="shared" si="104"/>
        <v>0.94440431330695762</v>
      </c>
      <c r="AM66" s="467">
        <f t="shared" si="104"/>
        <v>1.5486058227428521</v>
      </c>
      <c r="AN66" s="467">
        <f t="shared" si="104"/>
        <v>0.53490950328990494</v>
      </c>
      <c r="AO66" s="467">
        <f t="shared" si="104"/>
        <v>0.77943618567856854</v>
      </c>
      <c r="AP66" s="467">
        <f t="shared" si="104"/>
        <v>0.51448063117045284</v>
      </c>
      <c r="AQ66" s="467">
        <f t="shared" si="104"/>
        <v>0.41104165369588963</v>
      </c>
      <c r="AR66" s="467">
        <f t="shared" si="104"/>
        <v>1.2773456118198376</v>
      </c>
      <c r="AS66" s="467">
        <f t="shared" si="104"/>
        <v>0.52697755903639776</v>
      </c>
      <c r="AT66" s="467">
        <f t="shared" si="104"/>
        <v>1.2884990319688905</v>
      </c>
      <c r="AU66" s="467">
        <f t="shared" si="104"/>
        <v>0.97684574575067629</v>
      </c>
      <c r="AV66" s="467">
        <f t="shared" si="104"/>
        <v>0.19943257944390799</v>
      </c>
      <c r="AW66" s="467">
        <f t="shared" si="104"/>
        <v>0.42474429191802865</v>
      </c>
      <c r="AX66" s="467">
        <f t="shared" si="104"/>
        <v>0.49363229698019839</v>
      </c>
      <c r="AY66" s="467">
        <f t="shared" si="104"/>
        <v>0.95726313133963514</v>
      </c>
      <c r="AZ66" s="467">
        <f t="shared" si="104"/>
        <v>0.8929799385221977</v>
      </c>
      <c r="BA66" s="467">
        <f t="shared" si="104"/>
        <v>4.1336183764718077</v>
      </c>
    </row>
    <row r="67" spans="1:53" x14ac:dyDescent="0.2">
      <c r="A67" s="468"/>
      <c r="B67" s="83" t="s">
        <v>870</v>
      </c>
      <c r="C67" s="462"/>
      <c r="D67" s="467">
        <f t="shared" ref="D67:AI67" si="105">D39/AVERAGE($D39:$BA39)</f>
        <v>0.89941542474340774</v>
      </c>
      <c r="E67" s="467">
        <f t="shared" si="105"/>
        <v>2.8548380723766167</v>
      </c>
      <c r="F67" s="467">
        <f t="shared" si="105"/>
        <v>0.60945866535991244</v>
      </c>
      <c r="G67" s="467">
        <f t="shared" si="105"/>
        <v>0.898409595130366</v>
      </c>
      <c r="H67" s="467">
        <f t="shared" si="105"/>
        <v>0.7096296760012839</v>
      </c>
      <c r="I67" s="467">
        <f t="shared" si="105"/>
        <v>0.72773843658266424</v>
      </c>
      <c r="J67" s="467">
        <f t="shared" si="105"/>
        <v>0.68927669648792533</v>
      </c>
      <c r="K67" s="467">
        <f t="shared" si="105"/>
        <v>0.87707665779937904</v>
      </c>
      <c r="L67" s="467">
        <f t="shared" si="105"/>
        <v>0.6507575816295853</v>
      </c>
      <c r="M67" s="467">
        <f t="shared" si="105"/>
        <v>0.79936431437443434</v>
      </c>
      <c r="N67" s="467">
        <f t="shared" si="105"/>
        <v>0.96326948201021667</v>
      </c>
      <c r="O67" s="467">
        <f t="shared" si="105"/>
        <v>0.8023930394158002</v>
      </c>
      <c r="P67" s="467">
        <f t="shared" si="105"/>
        <v>0.73541276049283744</v>
      </c>
      <c r="Q67" s="467">
        <f t="shared" si="105"/>
        <v>0.91075409498946969</v>
      </c>
      <c r="R67" s="467">
        <f t="shared" si="105"/>
        <v>1.0819594621346353</v>
      </c>
      <c r="S67" s="467">
        <f t="shared" si="105"/>
        <v>1.0902013223932594</v>
      </c>
      <c r="T67" s="467">
        <f t="shared" si="105"/>
        <v>1.0747332219642727</v>
      </c>
      <c r="U67" s="467">
        <f t="shared" si="105"/>
        <v>3.1990504232203287</v>
      </c>
      <c r="V67" s="467">
        <f t="shared" si="105"/>
        <v>1.1207884056635846</v>
      </c>
      <c r="W67" s="467">
        <f t="shared" si="105"/>
        <v>0.6417855014020456</v>
      </c>
      <c r="X67" s="467">
        <f t="shared" si="105"/>
        <v>0.67730081704841205</v>
      </c>
      <c r="Y67" s="467">
        <f t="shared" si="105"/>
        <v>0.61117222859011133</v>
      </c>
      <c r="Z67" s="467">
        <f t="shared" si="105"/>
        <v>0.88813000480531568</v>
      </c>
      <c r="AA67" s="467">
        <f t="shared" si="105"/>
        <v>1.0811616488143763</v>
      </c>
      <c r="AB67" s="467">
        <f t="shared" si="105"/>
        <v>0.84067906755417732</v>
      </c>
      <c r="AC67" s="467">
        <f t="shared" si="105"/>
        <v>1.2934988829593426</v>
      </c>
      <c r="AD67" s="467">
        <f t="shared" si="105"/>
        <v>1.0024219823395097</v>
      </c>
      <c r="AE67" s="467">
        <f t="shared" si="105"/>
        <v>0.60072145769291385</v>
      </c>
      <c r="AF67" s="467">
        <f t="shared" si="105"/>
        <v>0.88301168968045496</v>
      </c>
      <c r="AG67" s="467">
        <f t="shared" si="105"/>
        <v>0.9757511751305501</v>
      </c>
      <c r="AH67" s="467">
        <f t="shared" si="105"/>
        <v>0.95396974075558028</v>
      </c>
      <c r="AI67" s="467">
        <f t="shared" si="105"/>
        <v>0.50255957007016394</v>
      </c>
      <c r="AJ67" s="467">
        <f t="shared" ref="AJ67:BA67" si="106">AJ39/AVERAGE($D39:$BA39)</f>
        <v>0.63721994997094966</v>
      </c>
      <c r="AK67" s="467">
        <f t="shared" si="106"/>
        <v>2.1066889320714557</v>
      </c>
      <c r="AL67" s="467">
        <f t="shared" si="106"/>
        <v>0.77882815574502173</v>
      </c>
      <c r="AM67" s="467">
        <f t="shared" si="106"/>
        <v>1.104260272847241</v>
      </c>
      <c r="AN67" s="467">
        <f t="shared" si="106"/>
        <v>0.69023529036560416</v>
      </c>
      <c r="AO67" s="467">
        <f t="shared" si="106"/>
        <v>0.75167764688903527</v>
      </c>
      <c r="AP67" s="467">
        <f t="shared" si="106"/>
        <v>0.59389071839985019</v>
      </c>
      <c r="AQ67" s="467">
        <f t="shared" si="106"/>
        <v>0.8125623288444338</v>
      </c>
      <c r="AR67" s="467">
        <f t="shared" si="106"/>
        <v>1.1125123372066446</v>
      </c>
      <c r="AS67" s="467">
        <f t="shared" si="106"/>
        <v>0.84794051463373576</v>
      </c>
      <c r="AT67" s="467">
        <f t="shared" si="106"/>
        <v>1.7930020750165372</v>
      </c>
      <c r="AU67" s="467">
        <f t="shared" si="106"/>
        <v>0.79754018279915173</v>
      </c>
      <c r="AV67" s="467">
        <f t="shared" si="106"/>
        <v>0.97066690466019345</v>
      </c>
      <c r="AW67" s="467">
        <f t="shared" si="106"/>
        <v>0.73346095810691714</v>
      </c>
      <c r="AX67" s="467">
        <f t="shared" si="106"/>
        <v>0.83584159279422976</v>
      </c>
      <c r="AY67" s="467">
        <f t="shared" si="106"/>
        <v>0.7917011969516039</v>
      </c>
      <c r="AZ67" s="467">
        <f t="shared" si="106"/>
        <v>0.71100678212261015</v>
      </c>
      <c r="BA67" s="467">
        <f t="shared" si="106"/>
        <v>2.2842730609618647</v>
      </c>
    </row>
    <row r="68" spans="1:53" x14ac:dyDescent="0.2">
      <c r="A68" s="52"/>
      <c r="B68" s="214" t="s">
        <v>1044</v>
      </c>
      <c r="C68" s="462"/>
      <c r="D68" s="467">
        <f t="shared" ref="D68:AI68" si="107">D40/AVERAGE($D40:$BA40)</f>
        <v>0.89243008370035481</v>
      </c>
      <c r="E68" s="467">
        <f t="shared" si="107"/>
        <v>3.818157100719318</v>
      </c>
      <c r="F68" s="467">
        <f t="shared" si="107"/>
        <v>0.46778487439676114</v>
      </c>
      <c r="G68" s="467">
        <f t="shared" si="107"/>
        <v>0.86349036858642891</v>
      </c>
      <c r="H68" s="467">
        <f t="shared" si="107"/>
        <v>0.64685871660976857</v>
      </c>
      <c r="I68" s="467">
        <f t="shared" si="107"/>
        <v>0.82722141689579609</v>
      </c>
      <c r="J68" s="467">
        <f t="shared" si="107"/>
        <v>0.59713959202466615</v>
      </c>
      <c r="K68" s="467">
        <f t="shared" si="107"/>
        <v>0.76823329447067634</v>
      </c>
      <c r="L68" s="467">
        <f t="shared" si="107"/>
        <v>0.45151200588365903</v>
      </c>
      <c r="M68" s="467">
        <f t="shared" si="107"/>
        <v>0.67460008812934014</v>
      </c>
      <c r="N68" s="467">
        <f t="shared" si="107"/>
        <v>0.60182123525325615</v>
      </c>
      <c r="O68" s="467">
        <f t="shared" si="107"/>
        <v>0.75349422513303033</v>
      </c>
      <c r="P68" s="467">
        <f t="shared" si="107"/>
        <v>0.85448039255007535</v>
      </c>
      <c r="Q68" s="467">
        <f t="shared" si="107"/>
        <v>1.1556827350873222</v>
      </c>
      <c r="R68" s="467">
        <f t="shared" si="107"/>
        <v>1.2171010211976181</v>
      </c>
      <c r="S68" s="467">
        <f t="shared" si="107"/>
        <v>1.1104034772109723</v>
      </c>
      <c r="T68" s="467">
        <f t="shared" si="107"/>
        <v>0.95791559401438964</v>
      </c>
      <c r="U68" s="467">
        <f t="shared" si="107"/>
        <v>3.2652496534209319</v>
      </c>
      <c r="V68" s="467">
        <f t="shared" si="107"/>
        <v>0.83800798292055034</v>
      </c>
      <c r="W68" s="467">
        <f t="shared" si="107"/>
        <v>0.56435554161225088</v>
      </c>
      <c r="X68" s="467">
        <f t="shared" si="107"/>
        <v>0.61857515052903089</v>
      </c>
      <c r="Y68" s="467">
        <f t="shared" si="107"/>
        <v>0.74573205163204859</v>
      </c>
      <c r="Z68" s="467">
        <f t="shared" si="107"/>
        <v>0.93491198118918095</v>
      </c>
      <c r="AA68" s="467">
        <f t="shared" si="107"/>
        <v>0.99116633862362991</v>
      </c>
      <c r="AB68" s="467">
        <f t="shared" si="107"/>
        <v>0.72495363765220333</v>
      </c>
      <c r="AC68" s="467">
        <f t="shared" si="107"/>
        <v>1.1736378105909337</v>
      </c>
      <c r="AD68" s="467">
        <f t="shared" si="107"/>
        <v>1.1199570034545132</v>
      </c>
      <c r="AE68" s="467">
        <f t="shared" si="107"/>
        <v>0.53719493607060009</v>
      </c>
      <c r="AF68" s="467">
        <f t="shared" si="107"/>
        <v>0.63270127647239327</v>
      </c>
      <c r="AG68" s="467">
        <f t="shared" si="107"/>
        <v>0.86522015111730632</v>
      </c>
      <c r="AH68" s="467">
        <f t="shared" si="107"/>
        <v>1.0071185346537301</v>
      </c>
      <c r="AI68" s="467">
        <f t="shared" si="107"/>
        <v>0.51868060065786736</v>
      </c>
      <c r="AJ68" s="467">
        <f t="shared" ref="AJ68:BA68" si="108">AJ40/AVERAGE($D40:$BA40)</f>
        <v>0.51850370376396404</v>
      </c>
      <c r="AK68" s="467">
        <f t="shared" si="108"/>
        <v>2.4901754065764585</v>
      </c>
      <c r="AL68" s="467">
        <f t="shared" si="108"/>
        <v>0.85007105317140719</v>
      </c>
      <c r="AM68" s="467">
        <f t="shared" si="108"/>
        <v>1.2189900373265936</v>
      </c>
      <c r="AN68" s="467">
        <f t="shared" si="108"/>
        <v>0.60930300363759315</v>
      </c>
      <c r="AO68" s="467">
        <f t="shared" si="108"/>
        <v>0.79785325456366607</v>
      </c>
      <c r="AP68" s="467">
        <f t="shared" si="108"/>
        <v>0.54051161008154058</v>
      </c>
      <c r="AQ68" s="467">
        <f t="shared" si="108"/>
        <v>0.66551910197865738</v>
      </c>
      <c r="AR68" s="467">
        <f t="shared" si="108"/>
        <v>1.1361728682756465</v>
      </c>
      <c r="AS68" s="467">
        <f t="shared" si="108"/>
        <v>0.7544016416468271</v>
      </c>
      <c r="AT68" s="467">
        <f t="shared" si="108"/>
        <v>1.546701629604329</v>
      </c>
      <c r="AU68" s="467">
        <f t="shared" si="108"/>
        <v>0.84578822111474528</v>
      </c>
      <c r="AV68" s="467">
        <f t="shared" si="108"/>
        <v>0.66805297163773236</v>
      </c>
      <c r="AW68" s="467">
        <f t="shared" si="108"/>
        <v>0.64057633560800142</v>
      </c>
      <c r="AX68" s="467">
        <f t="shared" si="108"/>
        <v>0.68469984498327752</v>
      </c>
      <c r="AY68" s="467">
        <f t="shared" si="108"/>
        <v>0.97816532203565953</v>
      </c>
      <c r="AZ68" s="467">
        <f t="shared" si="108"/>
        <v>0.77164959653373788</v>
      </c>
      <c r="BA68" s="467">
        <f t="shared" si="108"/>
        <v>3.0870755249995758</v>
      </c>
    </row>
    <row r="69" spans="1:53" x14ac:dyDescent="0.2">
      <c r="A69" s="52"/>
      <c r="B69" s="83" t="s">
        <v>791</v>
      </c>
      <c r="C69" s="462"/>
      <c r="D69" s="467">
        <f t="shared" ref="D69:AI69" si="109">D41/AVERAGE($D41:$BA41)</f>
        <v>0.89243008370035459</v>
      </c>
      <c r="E69" s="467">
        <f t="shared" si="109"/>
        <v>3.8181571007193171</v>
      </c>
      <c r="F69" s="467">
        <f t="shared" si="109"/>
        <v>0.46778487439676103</v>
      </c>
      <c r="G69" s="467">
        <f t="shared" si="109"/>
        <v>0.86349036858642869</v>
      </c>
      <c r="H69" s="467">
        <f t="shared" si="109"/>
        <v>0.64685871660976846</v>
      </c>
      <c r="I69" s="467">
        <f t="shared" si="109"/>
        <v>0.82722141689579598</v>
      </c>
      <c r="J69" s="467">
        <f t="shared" si="109"/>
        <v>0.59713959202466604</v>
      </c>
      <c r="K69" s="467">
        <f t="shared" si="109"/>
        <v>0.76823329447067612</v>
      </c>
      <c r="L69" s="467">
        <f t="shared" si="109"/>
        <v>0.45151200588365897</v>
      </c>
      <c r="M69" s="467">
        <f t="shared" si="109"/>
        <v>0.67460008812934014</v>
      </c>
      <c r="N69" s="467">
        <f t="shared" si="109"/>
        <v>0.60182123525325582</v>
      </c>
      <c r="O69" s="467">
        <f t="shared" si="109"/>
        <v>0.7534942251330301</v>
      </c>
      <c r="P69" s="467">
        <f t="shared" si="109"/>
        <v>0.85448039255007513</v>
      </c>
      <c r="Q69" s="467">
        <f t="shared" si="109"/>
        <v>1.155682735087322</v>
      </c>
      <c r="R69" s="467">
        <f t="shared" si="109"/>
        <v>1.2171010211976179</v>
      </c>
      <c r="S69" s="467">
        <f t="shared" si="109"/>
        <v>1.1104034772109721</v>
      </c>
      <c r="T69" s="467">
        <f t="shared" si="109"/>
        <v>0.95791559401438942</v>
      </c>
      <c r="U69" s="467">
        <f t="shared" si="109"/>
        <v>3.265249653420931</v>
      </c>
      <c r="V69" s="467">
        <f t="shared" si="109"/>
        <v>0.83800798292055023</v>
      </c>
      <c r="W69" s="467">
        <f t="shared" si="109"/>
        <v>0.56435554161225066</v>
      </c>
      <c r="X69" s="467">
        <f t="shared" si="109"/>
        <v>0.61857515052903067</v>
      </c>
      <c r="Y69" s="467">
        <f t="shared" si="109"/>
        <v>0.74573205163204825</v>
      </c>
      <c r="Z69" s="467">
        <f t="shared" si="109"/>
        <v>0.93491198118918073</v>
      </c>
      <c r="AA69" s="467">
        <f t="shared" si="109"/>
        <v>0.99116633862362991</v>
      </c>
      <c r="AB69" s="467">
        <f t="shared" si="109"/>
        <v>0.72495363765220322</v>
      </c>
      <c r="AC69" s="467">
        <f t="shared" si="109"/>
        <v>1.1736378105909335</v>
      </c>
      <c r="AD69" s="467">
        <f t="shared" si="109"/>
        <v>1.119957003454513</v>
      </c>
      <c r="AE69" s="467">
        <f t="shared" si="109"/>
        <v>0.53719493607059998</v>
      </c>
      <c r="AF69" s="467">
        <f t="shared" si="109"/>
        <v>0.63270127647239305</v>
      </c>
      <c r="AG69" s="467">
        <f t="shared" si="109"/>
        <v>0.86522015111730621</v>
      </c>
      <c r="AH69" s="467">
        <f t="shared" si="109"/>
        <v>1.0071185346537299</v>
      </c>
      <c r="AI69" s="467">
        <f t="shared" si="109"/>
        <v>0.51868060065786725</v>
      </c>
      <c r="AJ69" s="467">
        <f t="shared" ref="AJ69:BA69" si="110">AJ41/AVERAGE($D41:$BA41)</f>
        <v>0.51850370376396393</v>
      </c>
      <c r="AK69" s="467">
        <f t="shared" si="110"/>
        <v>2.4901754065764576</v>
      </c>
      <c r="AL69" s="467">
        <f t="shared" si="110"/>
        <v>0.85007105317140685</v>
      </c>
      <c r="AM69" s="467">
        <f t="shared" si="110"/>
        <v>1.2189900373265932</v>
      </c>
      <c r="AN69" s="467">
        <f t="shared" si="110"/>
        <v>0.60930300363759315</v>
      </c>
      <c r="AO69" s="467">
        <f t="shared" si="110"/>
        <v>0.79785325456366596</v>
      </c>
      <c r="AP69" s="467">
        <f t="shared" si="110"/>
        <v>0.54051161008154047</v>
      </c>
      <c r="AQ69" s="467">
        <f t="shared" si="110"/>
        <v>0.66551910197865727</v>
      </c>
      <c r="AR69" s="467">
        <f t="shared" si="110"/>
        <v>1.1361728682756462</v>
      </c>
      <c r="AS69" s="467">
        <f t="shared" si="110"/>
        <v>0.75440164164682688</v>
      </c>
      <c r="AT69" s="467">
        <f t="shared" si="110"/>
        <v>1.546701629604329</v>
      </c>
      <c r="AU69" s="467">
        <f t="shared" si="110"/>
        <v>0.84578822111474516</v>
      </c>
      <c r="AV69" s="467">
        <f t="shared" si="110"/>
        <v>0.66805297163773214</v>
      </c>
      <c r="AW69" s="467">
        <f t="shared" si="110"/>
        <v>0.6405763356080012</v>
      </c>
      <c r="AX69" s="467">
        <f t="shared" si="110"/>
        <v>0.68469984498327729</v>
      </c>
      <c r="AY69" s="467">
        <f t="shared" si="110"/>
        <v>0.97816532203565931</v>
      </c>
      <c r="AZ69" s="467">
        <f t="shared" si="110"/>
        <v>0.77164959653373777</v>
      </c>
      <c r="BA69" s="467">
        <f t="shared" si="110"/>
        <v>3.0870755249995749</v>
      </c>
    </row>
    <row r="70" spans="1:53" x14ac:dyDescent="0.2">
      <c r="A70" s="468"/>
      <c r="B70" s="49" t="s">
        <v>1045</v>
      </c>
      <c r="C70" s="462"/>
      <c r="D70" s="467">
        <f t="shared" ref="D70:AI70" si="111">D42/AVERAGE($D42:$BA42)</f>
        <v>1.801469517735006</v>
      </c>
      <c r="E70" s="467">
        <f t="shared" si="111"/>
        <v>0.55069283382754985</v>
      </c>
      <c r="F70" s="467">
        <f t="shared" si="111"/>
        <v>0.98349255763253529</v>
      </c>
      <c r="G70" s="467">
        <f t="shared" si="111"/>
        <v>1.204908908623594</v>
      </c>
      <c r="H70" s="467">
        <f t="shared" si="111"/>
        <v>0.27970545856621304</v>
      </c>
      <c r="I70" s="467">
        <f t="shared" si="111"/>
        <v>0.61354722566552811</v>
      </c>
      <c r="J70" s="467">
        <f t="shared" si="111"/>
        <v>0.52149887394043137</v>
      </c>
      <c r="K70" s="467">
        <f t="shared" si="111"/>
        <v>0.39657554260244393</v>
      </c>
      <c r="L70" s="467">
        <f t="shared" si="111"/>
        <v>0.60457520315324886</v>
      </c>
      <c r="M70" s="467">
        <f t="shared" si="111"/>
        <v>0.71873796863073436</v>
      </c>
      <c r="N70" s="467">
        <f t="shared" si="111"/>
        <v>0.43191252472593888</v>
      </c>
      <c r="O70" s="467">
        <f t="shared" si="111"/>
        <v>0.58311834986545341</v>
      </c>
      <c r="P70" s="467">
        <f t="shared" si="111"/>
        <v>0.96303691689097415</v>
      </c>
      <c r="Q70" s="467">
        <f t="shared" si="111"/>
        <v>1.1327605830106997</v>
      </c>
      <c r="R70" s="467">
        <f t="shared" si="111"/>
        <v>1.1121869811202021</v>
      </c>
      <c r="S70" s="467">
        <f t="shared" si="111"/>
        <v>1.0253281197320767</v>
      </c>
      <c r="T70" s="467">
        <f t="shared" si="111"/>
        <v>1.4136091355047964</v>
      </c>
      <c r="U70" s="467">
        <f t="shared" si="111"/>
        <v>1.0567971964784706</v>
      </c>
      <c r="V70" s="467">
        <f t="shared" si="111"/>
        <v>0.51320111031524474</v>
      </c>
      <c r="W70" s="467">
        <f t="shared" si="111"/>
        <v>0.44169933945184303</v>
      </c>
      <c r="X70" s="467">
        <f t="shared" si="111"/>
        <v>0.30576322365948239</v>
      </c>
      <c r="Y70" s="467">
        <f t="shared" si="111"/>
        <v>0.69177584986397278</v>
      </c>
      <c r="Z70" s="467">
        <f t="shared" si="111"/>
        <v>0.63314259753361568</v>
      </c>
      <c r="AA70" s="467">
        <f t="shared" si="111"/>
        <v>0.92626172193851608</v>
      </c>
      <c r="AB70" s="467">
        <f t="shared" si="111"/>
        <v>0.97195806247206062</v>
      </c>
      <c r="AC70" s="467">
        <f t="shared" si="111"/>
        <v>1.8712269875334751</v>
      </c>
      <c r="AD70" s="467">
        <f t="shared" si="111"/>
        <v>1.2078827161306294</v>
      </c>
      <c r="AE70" s="467">
        <f t="shared" si="111"/>
        <v>0.60190055220867045</v>
      </c>
      <c r="AF70" s="467">
        <f t="shared" si="111"/>
        <v>0.89697879963406424</v>
      </c>
      <c r="AG70" s="467">
        <f t="shared" si="111"/>
        <v>0.42118758615451352</v>
      </c>
      <c r="AH70" s="467">
        <f t="shared" si="111"/>
        <v>1.1089608125429185</v>
      </c>
      <c r="AI70" s="467">
        <f t="shared" si="111"/>
        <v>0.42058900932295662</v>
      </c>
      <c r="AJ70" s="467">
        <f t="shared" ref="AJ70:BA70" si="112">AJ42/AVERAGE($D42:$BA42)</f>
        <v>0.72925941428503716</v>
      </c>
      <c r="AK70" s="467">
        <f t="shared" si="112"/>
        <v>3.3480472766331588</v>
      </c>
      <c r="AL70" s="467">
        <f t="shared" si="112"/>
        <v>0.71851198906843972</v>
      </c>
      <c r="AM70" s="467">
        <f t="shared" si="112"/>
        <v>1.1271243291763593</v>
      </c>
      <c r="AN70" s="467">
        <f t="shared" si="112"/>
        <v>0.86746172422924028</v>
      </c>
      <c r="AO70" s="467">
        <f t="shared" si="112"/>
        <v>1.0494914250178626</v>
      </c>
      <c r="AP70" s="467">
        <f t="shared" si="112"/>
        <v>0.39600453381987499</v>
      </c>
      <c r="AQ70" s="467">
        <f t="shared" si="112"/>
        <v>1.3184433375866738</v>
      </c>
      <c r="AR70" s="467">
        <f t="shared" si="112"/>
        <v>0.8818703937306196</v>
      </c>
      <c r="AS70" s="467">
        <f t="shared" si="112"/>
        <v>0.76726875104520231</v>
      </c>
      <c r="AT70" s="467">
        <f t="shared" si="112"/>
        <v>0.91266343099888048</v>
      </c>
      <c r="AU70" s="467">
        <f t="shared" si="112"/>
        <v>0.84684997180509802</v>
      </c>
      <c r="AV70" s="467">
        <f t="shared" si="112"/>
        <v>0.76283877142725742</v>
      </c>
      <c r="AW70" s="467">
        <f t="shared" si="112"/>
        <v>0.49104675533799041</v>
      </c>
      <c r="AX70" s="467">
        <f t="shared" si="112"/>
        <v>0.95606594160716318</v>
      </c>
      <c r="AY70" s="467">
        <f t="shared" si="112"/>
        <v>2.5396104277366658</v>
      </c>
      <c r="AZ70" s="467">
        <f t="shared" si="112"/>
        <v>0.66391334631692911</v>
      </c>
      <c r="BA70" s="467">
        <f t="shared" si="112"/>
        <v>5.2170459137096907</v>
      </c>
    </row>
    <row r="71" spans="1:53" x14ac:dyDescent="0.2">
      <c r="A71" s="468"/>
      <c r="B71" s="49" t="s">
        <v>1046</v>
      </c>
      <c r="C71" s="462"/>
      <c r="D71" s="467">
        <f t="shared" ref="D71:AI71" si="113">D43/AVERAGE($D43:$BA43)</f>
        <v>1.1088894649936911</v>
      </c>
      <c r="E71" s="467">
        <f t="shared" si="113"/>
        <v>1.1170408655393476</v>
      </c>
      <c r="F71" s="467">
        <f t="shared" si="113"/>
        <v>0.85036628669474834</v>
      </c>
      <c r="G71" s="467">
        <f t="shared" si="113"/>
        <v>0.60283217938071887</v>
      </c>
      <c r="H71" s="467">
        <f t="shared" si="113"/>
        <v>0.6771214842707749</v>
      </c>
      <c r="I71" s="467">
        <f t="shared" si="113"/>
        <v>0.24369551818517363</v>
      </c>
      <c r="J71" s="467">
        <f t="shared" si="113"/>
        <v>9.4649412506958019E-2</v>
      </c>
      <c r="K71" s="467">
        <f t="shared" si="113"/>
        <v>0</v>
      </c>
      <c r="L71" s="467">
        <f t="shared" si="113"/>
        <v>5.8223055753576424E-3</v>
      </c>
      <c r="M71" s="467">
        <f t="shared" si="113"/>
        <v>0.16417799677950398</v>
      </c>
      <c r="N71" s="467">
        <f t="shared" si="113"/>
        <v>1.7915233130173069E-2</v>
      </c>
      <c r="O71" s="467">
        <f t="shared" si="113"/>
        <v>5.0743257778127138</v>
      </c>
      <c r="P71" s="467">
        <f t="shared" si="113"/>
        <v>6.7196675421565665E-3</v>
      </c>
      <c r="Q71" s="467">
        <f t="shared" si="113"/>
        <v>3.7888528013218875E-2</v>
      </c>
      <c r="R71" s="467">
        <f t="shared" si="113"/>
        <v>0.1812977207200609</v>
      </c>
      <c r="S71" s="467">
        <f t="shared" si="113"/>
        <v>2.1503642993008854E-3</v>
      </c>
      <c r="T71" s="467">
        <f t="shared" si="113"/>
        <v>0.40708034895201967</v>
      </c>
      <c r="U71" s="467">
        <f t="shared" si="113"/>
        <v>0.13627143629661498</v>
      </c>
      <c r="V71" s="467">
        <f t="shared" si="113"/>
        <v>1.458834582820369</v>
      </c>
      <c r="W71" s="467">
        <f t="shared" si="113"/>
        <v>0.26107679949222795</v>
      </c>
      <c r="X71" s="467">
        <f t="shared" si="113"/>
        <v>0.10276388761401165</v>
      </c>
      <c r="Y71" s="467">
        <f t="shared" si="113"/>
        <v>8.0616836339021725E-2</v>
      </c>
      <c r="Z71" s="467">
        <f t="shared" si="113"/>
        <v>7.0412167031691578E-2</v>
      </c>
      <c r="AA71" s="467">
        <f t="shared" si="113"/>
        <v>0</v>
      </c>
      <c r="AB71" s="467">
        <f t="shared" si="113"/>
        <v>0.11812698979652854</v>
      </c>
      <c r="AC71" s="467">
        <f t="shared" si="113"/>
        <v>7.572654712891576</v>
      </c>
      <c r="AD71" s="467">
        <f t="shared" si="113"/>
        <v>0.52602599126888994</v>
      </c>
      <c r="AE71" s="467">
        <f t="shared" si="113"/>
        <v>0.48334649439549304</v>
      </c>
      <c r="AF71" s="467">
        <f t="shared" si="113"/>
        <v>0.72599266420653863</v>
      </c>
      <c r="AG71" s="467">
        <f t="shared" si="113"/>
        <v>1.3972912670451344E-3</v>
      </c>
      <c r="AH71" s="467">
        <f t="shared" si="113"/>
        <v>5.6418243559426991E-2</v>
      </c>
      <c r="AI71" s="467">
        <f t="shared" si="113"/>
        <v>0.85836386953320432</v>
      </c>
      <c r="AJ71" s="467">
        <f t="shared" ref="AJ71:BA71" si="114">AJ43/AVERAGE($D43:$BA43)</f>
        <v>0.24111084437852626</v>
      </c>
      <c r="AK71" s="467">
        <f t="shared" si="114"/>
        <v>2.262561367063237</v>
      </c>
      <c r="AL71" s="467">
        <f t="shared" si="114"/>
        <v>1.9788385575512053E-2</v>
      </c>
      <c r="AM71" s="467">
        <f t="shared" si="114"/>
        <v>0.23814165368233564</v>
      </c>
      <c r="AN71" s="467">
        <f t="shared" si="114"/>
        <v>6.5597553836107787</v>
      </c>
      <c r="AO71" s="467">
        <f t="shared" si="114"/>
        <v>0.15159772751888906</v>
      </c>
      <c r="AP71" s="467">
        <f t="shared" si="114"/>
        <v>5.8748385085110218E-3</v>
      </c>
      <c r="AQ71" s="467">
        <f t="shared" si="114"/>
        <v>0.19943490459550064</v>
      </c>
      <c r="AR71" s="467">
        <f t="shared" si="114"/>
        <v>4.8114361366738088</v>
      </c>
      <c r="AS71" s="467">
        <f t="shared" si="114"/>
        <v>0.89695317813548414</v>
      </c>
      <c r="AT71" s="467">
        <f t="shared" si="114"/>
        <v>1.3244522361215788E-2</v>
      </c>
      <c r="AU71" s="467">
        <f t="shared" si="114"/>
        <v>0.26318185694712432</v>
      </c>
      <c r="AV71" s="467">
        <f t="shared" si="114"/>
        <v>1.3396964513229943</v>
      </c>
      <c r="AW71" s="467">
        <f t="shared" si="114"/>
        <v>8.9108307653577287E-2</v>
      </c>
      <c r="AX71" s="467">
        <f t="shared" si="114"/>
        <v>8.0699996857411858</v>
      </c>
      <c r="AY71" s="467">
        <f t="shared" si="114"/>
        <v>0.28950043637007178</v>
      </c>
      <c r="AZ71" s="467">
        <f t="shared" si="114"/>
        <v>0.20971519925240253</v>
      </c>
      <c r="BA71" s="467">
        <f t="shared" si="114"/>
        <v>1.2946239997002862</v>
      </c>
    </row>
    <row r="72" spans="1:53" x14ac:dyDescent="0.2">
      <c r="A72" s="468"/>
      <c r="B72" s="49" t="s">
        <v>1047</v>
      </c>
      <c r="C72" s="462"/>
      <c r="D72" s="467">
        <f t="shared" ref="D72:AI72" si="115">D44/AVERAGE($D44:$BA44)</f>
        <v>0</v>
      </c>
      <c r="E72" s="467">
        <f t="shared" si="115"/>
        <v>0</v>
      </c>
      <c r="F72" s="467">
        <f t="shared" si="115"/>
        <v>2.6451945042560374</v>
      </c>
      <c r="G72" s="467">
        <f t="shared" si="115"/>
        <v>0</v>
      </c>
      <c r="H72" s="467">
        <f t="shared" si="115"/>
        <v>4.7666657830161379</v>
      </c>
      <c r="I72" s="467">
        <f t="shared" si="115"/>
        <v>3.7616464698925536</v>
      </c>
      <c r="J72" s="467">
        <f t="shared" si="115"/>
        <v>0</v>
      </c>
      <c r="K72" s="467">
        <f t="shared" si="115"/>
        <v>2.3547254014664962</v>
      </c>
      <c r="L72" s="467">
        <f t="shared" si="115"/>
        <v>1.3447545758956116</v>
      </c>
      <c r="M72" s="467">
        <f t="shared" si="115"/>
        <v>0</v>
      </c>
      <c r="N72" s="467">
        <f t="shared" si="115"/>
        <v>0</v>
      </c>
      <c r="O72" s="467">
        <f t="shared" si="115"/>
        <v>0</v>
      </c>
      <c r="P72" s="467">
        <f t="shared" si="115"/>
        <v>0.16628728624872233</v>
      </c>
      <c r="Q72" s="467">
        <f t="shared" si="115"/>
        <v>0</v>
      </c>
      <c r="R72" s="467">
        <f t="shared" si="115"/>
        <v>0</v>
      </c>
      <c r="S72" s="467">
        <f t="shared" si="115"/>
        <v>0</v>
      </c>
      <c r="T72" s="467">
        <f t="shared" si="115"/>
        <v>0</v>
      </c>
      <c r="U72" s="467">
        <f t="shared" si="115"/>
        <v>0</v>
      </c>
      <c r="V72" s="467">
        <f t="shared" si="115"/>
        <v>0</v>
      </c>
      <c r="W72" s="467">
        <f t="shared" si="115"/>
        <v>0</v>
      </c>
      <c r="X72" s="467">
        <f t="shared" si="115"/>
        <v>0</v>
      </c>
      <c r="Y72" s="467">
        <f t="shared" si="115"/>
        <v>0</v>
      </c>
      <c r="Z72" s="467">
        <f t="shared" si="115"/>
        <v>0</v>
      </c>
      <c r="AA72" s="467">
        <f t="shared" si="115"/>
        <v>0</v>
      </c>
      <c r="AB72" s="467">
        <f t="shared" si="115"/>
        <v>0</v>
      </c>
      <c r="AC72" s="467">
        <f t="shared" si="115"/>
        <v>0</v>
      </c>
      <c r="AD72" s="467">
        <f t="shared" si="115"/>
        <v>0</v>
      </c>
      <c r="AE72" s="467">
        <f t="shared" si="115"/>
        <v>19.654331333276527</v>
      </c>
      <c r="AF72" s="467">
        <f t="shared" si="115"/>
        <v>0</v>
      </c>
      <c r="AG72" s="467">
        <f t="shared" si="115"/>
        <v>1.4522704286198951</v>
      </c>
      <c r="AH72" s="467">
        <f t="shared" si="115"/>
        <v>12.344869442220833</v>
      </c>
      <c r="AI72" s="467">
        <f t="shared" si="115"/>
        <v>0.10965313140775508</v>
      </c>
      <c r="AJ72" s="467">
        <f t="shared" ref="AJ72:BA72" si="116">AJ44/AVERAGE($D44:$BA44)</f>
        <v>0.44314380686053789</v>
      </c>
      <c r="AK72" s="467">
        <f t="shared" si="116"/>
        <v>0</v>
      </c>
      <c r="AL72" s="467">
        <f t="shared" si="116"/>
        <v>0.37057654707454546</v>
      </c>
      <c r="AM72" s="467">
        <f t="shared" si="116"/>
        <v>0</v>
      </c>
      <c r="AN72" s="467">
        <f t="shared" si="116"/>
        <v>0</v>
      </c>
      <c r="AO72" s="467">
        <f t="shared" si="116"/>
        <v>0.33559667097065671</v>
      </c>
      <c r="AP72" s="467">
        <f t="shared" si="116"/>
        <v>0</v>
      </c>
      <c r="AQ72" s="467">
        <f t="shared" si="116"/>
        <v>0</v>
      </c>
      <c r="AR72" s="467">
        <f t="shared" si="116"/>
        <v>0</v>
      </c>
      <c r="AS72" s="467">
        <f t="shared" si="116"/>
        <v>0</v>
      </c>
      <c r="AT72" s="467">
        <f t="shared" si="116"/>
        <v>0.25028461879369962</v>
      </c>
      <c r="AU72" s="467">
        <f t="shared" si="116"/>
        <v>0</v>
      </c>
      <c r="AV72" s="467">
        <f t="shared" si="116"/>
        <v>0</v>
      </c>
      <c r="AW72" s="467">
        <f t="shared" si="116"/>
        <v>0</v>
      </c>
      <c r="AX72" s="467">
        <f t="shared" si="116"/>
        <v>0</v>
      </c>
      <c r="AY72" s="467">
        <f t="shared" si="116"/>
        <v>0</v>
      </c>
      <c r="AZ72" s="467">
        <f t="shared" si="116"/>
        <v>0</v>
      </c>
      <c r="BA72" s="467">
        <f t="shared" si="116"/>
        <v>0</v>
      </c>
    </row>
    <row r="73" spans="1:53" x14ac:dyDescent="0.2">
      <c r="A73" s="468"/>
      <c r="B73" s="49" t="s">
        <v>1048</v>
      </c>
      <c r="C73" s="462"/>
      <c r="D73" s="467">
        <f t="shared" ref="D73:AI73" si="117">D45/AVERAGE($D45:$BA45)</f>
        <v>0</v>
      </c>
      <c r="E73" s="467">
        <f t="shared" si="117"/>
        <v>1.8559473189571268E-2</v>
      </c>
      <c r="F73" s="467">
        <f t="shared" si="117"/>
        <v>5.193213977903912E-2</v>
      </c>
      <c r="G73" s="467">
        <f t="shared" si="117"/>
        <v>0</v>
      </c>
      <c r="H73" s="467">
        <f t="shared" si="117"/>
        <v>0.26844726048210782</v>
      </c>
      <c r="I73" s="467">
        <f t="shared" si="117"/>
        <v>1.3234105360773345</v>
      </c>
      <c r="J73" s="467">
        <f t="shared" si="117"/>
        <v>0</v>
      </c>
      <c r="K73" s="467">
        <f t="shared" si="117"/>
        <v>0</v>
      </c>
      <c r="L73" s="467">
        <f t="shared" si="117"/>
        <v>0</v>
      </c>
      <c r="M73" s="467">
        <f t="shared" si="117"/>
        <v>0</v>
      </c>
      <c r="N73" s="467">
        <f t="shared" si="117"/>
        <v>0.32169498550505854</v>
      </c>
      <c r="O73" s="467">
        <f t="shared" si="117"/>
        <v>1.0773057093832008</v>
      </c>
      <c r="P73" s="467">
        <f t="shared" si="117"/>
        <v>0.63099303927897255</v>
      </c>
      <c r="Q73" s="467">
        <f t="shared" si="117"/>
        <v>0.65766738295147209</v>
      </c>
      <c r="R73" s="467">
        <f t="shared" si="117"/>
        <v>4.5598552113471529</v>
      </c>
      <c r="S73" s="467">
        <f t="shared" si="117"/>
        <v>1.6896125311871306</v>
      </c>
      <c r="T73" s="467">
        <f t="shared" si="117"/>
        <v>0</v>
      </c>
      <c r="U73" s="467">
        <f t="shared" si="117"/>
        <v>0</v>
      </c>
      <c r="V73" s="467">
        <f t="shared" si="117"/>
        <v>0.69773959925091744</v>
      </c>
      <c r="W73" s="467">
        <f t="shared" si="117"/>
        <v>5.9815336952447791E-2</v>
      </c>
      <c r="X73" s="467">
        <f t="shared" si="117"/>
        <v>1.0166833784548801E-2</v>
      </c>
      <c r="Y73" s="467">
        <f t="shared" si="117"/>
        <v>5.9848958339054771E-2</v>
      </c>
      <c r="Z73" s="467">
        <f t="shared" si="117"/>
        <v>1.6355609871853038</v>
      </c>
      <c r="AA73" s="467">
        <f t="shared" si="117"/>
        <v>0</v>
      </c>
      <c r="AB73" s="467">
        <f t="shared" si="117"/>
        <v>0.25487311498621867</v>
      </c>
      <c r="AC73" s="467">
        <f t="shared" si="117"/>
        <v>1.6563027667040966</v>
      </c>
      <c r="AD73" s="467">
        <f t="shared" si="117"/>
        <v>0.74383327352893913</v>
      </c>
      <c r="AE73" s="467">
        <f t="shared" si="117"/>
        <v>0</v>
      </c>
      <c r="AF73" s="467">
        <f t="shared" si="117"/>
        <v>6.1167349678684604E-2</v>
      </c>
      <c r="AG73" s="467">
        <f t="shared" si="117"/>
        <v>1.520634459199241E-3</v>
      </c>
      <c r="AH73" s="467">
        <f t="shared" si="117"/>
        <v>1.3184510383314667</v>
      </c>
      <c r="AI73" s="467">
        <f t="shared" si="117"/>
        <v>0.18944463742521853</v>
      </c>
      <c r="AJ73" s="467">
        <f t="shared" ref="AJ73:BA73" si="118">AJ45/AVERAGE($D45:$BA45)</f>
        <v>0</v>
      </c>
      <c r="AK73" s="467">
        <f t="shared" si="118"/>
        <v>9.9864770188225513</v>
      </c>
      <c r="AL73" s="467">
        <f t="shared" si="118"/>
        <v>2.2117198698264205E-2</v>
      </c>
      <c r="AM73" s="467">
        <f t="shared" si="118"/>
        <v>1.9348481667773467</v>
      </c>
      <c r="AN73" s="467">
        <f t="shared" si="118"/>
        <v>1.6114841086278546</v>
      </c>
      <c r="AO73" s="467">
        <f t="shared" si="118"/>
        <v>0.18342793659881002</v>
      </c>
      <c r="AP73" s="467">
        <f t="shared" si="118"/>
        <v>0</v>
      </c>
      <c r="AQ73" s="467">
        <f t="shared" si="118"/>
        <v>0</v>
      </c>
      <c r="AR73" s="467">
        <f t="shared" si="118"/>
        <v>4.2248115369093613</v>
      </c>
      <c r="AS73" s="467">
        <f t="shared" si="118"/>
        <v>1.0496021401183393E-2</v>
      </c>
      <c r="AT73" s="467">
        <f t="shared" si="118"/>
        <v>1.5556266935751812</v>
      </c>
      <c r="AU73" s="467">
        <f t="shared" si="118"/>
        <v>0.26731947934216038</v>
      </c>
      <c r="AV73" s="467">
        <f t="shared" si="118"/>
        <v>6.4321569360938469E-2</v>
      </c>
      <c r="AW73" s="467">
        <f t="shared" si="118"/>
        <v>0</v>
      </c>
      <c r="AX73" s="467">
        <f t="shared" si="118"/>
        <v>1.1971027720160823</v>
      </c>
      <c r="AY73" s="467">
        <f t="shared" si="118"/>
        <v>0.77496417511883442</v>
      </c>
      <c r="AZ73" s="467">
        <f t="shared" si="118"/>
        <v>0.27057888110852635</v>
      </c>
      <c r="BA73" s="467">
        <f t="shared" si="118"/>
        <v>10.608221641835758</v>
      </c>
    </row>
    <row r="74" spans="1:53" x14ac:dyDescent="0.2">
      <c r="A74" s="52"/>
      <c r="B74" s="49" t="s">
        <v>1049</v>
      </c>
      <c r="C74" s="462"/>
      <c r="D74" s="467">
        <f t="shared" ref="D74:AI74" si="119">D46/AVERAGE($D46:$BA46)</f>
        <v>1.9747439404077887</v>
      </c>
      <c r="E74" s="467">
        <f t="shared" si="119"/>
        <v>0.51431337488683271</v>
      </c>
      <c r="F74" s="467">
        <f t="shared" si="119"/>
        <v>1.046685335455062</v>
      </c>
      <c r="G74" s="467">
        <f t="shared" si="119"/>
        <v>1.3365744850977521</v>
      </c>
      <c r="H74" s="467">
        <f t="shared" si="119"/>
        <v>0.23367986456914985</v>
      </c>
      <c r="I74" s="467">
        <f t="shared" si="119"/>
        <v>0.61747999441416102</v>
      </c>
      <c r="J74" s="467">
        <f t="shared" si="119"/>
        <v>0.59737097114094651</v>
      </c>
      <c r="K74" s="467">
        <f t="shared" si="119"/>
        <v>0.46167641552813254</v>
      </c>
      <c r="L74" s="467">
        <f t="shared" si="119"/>
        <v>0.70389550252879995</v>
      </c>
      <c r="M74" s="467">
        <f t="shared" si="119"/>
        <v>0.8194746608418364</v>
      </c>
      <c r="N74" s="467">
        <f t="shared" si="119"/>
        <v>0.48483158502072937</v>
      </c>
      <c r="O74" s="467">
        <f t="shared" si="119"/>
        <v>4.7368177005324877E-2</v>
      </c>
      <c r="P74" s="467">
        <f t="shared" si="119"/>
        <v>1.0892536638341466</v>
      </c>
      <c r="Q74" s="467">
        <f t="shared" si="119"/>
        <v>1.2822911777698649</v>
      </c>
      <c r="R74" s="467">
        <f t="shared" si="119"/>
        <v>1.0383645618729909</v>
      </c>
      <c r="S74" s="467">
        <f t="shared" si="119"/>
        <v>1.1072183933114979</v>
      </c>
      <c r="T74" s="467">
        <f t="shared" si="119"/>
        <v>1.6021759358059298</v>
      </c>
      <c r="U74" s="467">
        <f t="shared" si="119"/>
        <v>1.2168568565028457</v>
      </c>
      <c r="V74" s="467">
        <f t="shared" si="119"/>
        <v>0.39632536701596638</v>
      </c>
      <c r="W74" s="467">
        <f t="shared" si="119"/>
        <v>0.48229048071859054</v>
      </c>
      <c r="X74" s="467">
        <f t="shared" si="119"/>
        <v>0.34434840283201618</v>
      </c>
      <c r="Y74" s="467">
        <f t="shared" si="119"/>
        <v>0.79440225445034995</v>
      </c>
      <c r="Z74" s="467">
        <f t="shared" si="119"/>
        <v>0.64495621123132585</v>
      </c>
      <c r="AA74" s="467">
        <f t="shared" si="119"/>
        <v>1.0801177866041829</v>
      </c>
      <c r="AB74" s="467">
        <f t="shared" si="119"/>
        <v>1.1066853564250738</v>
      </c>
      <c r="AC74" s="467">
        <f t="shared" si="119"/>
        <v>1.2354385233501821</v>
      </c>
      <c r="AD74" s="467">
        <f t="shared" si="119"/>
        <v>1.3099476753523078</v>
      </c>
      <c r="AE74" s="467">
        <f t="shared" si="119"/>
        <v>0.64053209277695933</v>
      </c>
      <c r="AF74" s="467">
        <f t="shared" si="119"/>
        <v>0.96031402576248204</v>
      </c>
      <c r="AG74" s="467">
        <f t="shared" si="119"/>
        <v>0.49043443483900245</v>
      </c>
      <c r="AH74" s="467">
        <f t="shared" si="119"/>
        <v>1.2139011938636817</v>
      </c>
      <c r="AI74" s="467">
        <f t="shared" si="119"/>
        <v>0.38302751038718297</v>
      </c>
      <c r="AJ74" s="467">
        <f t="shared" ref="AJ74:BA74" si="120">AJ46/AVERAGE($D46:$BA46)</f>
        <v>0.82285976199179089</v>
      </c>
      <c r="AK74" s="467">
        <f t="shared" si="120"/>
        <v>3.1260000572410322</v>
      </c>
      <c r="AL74" s="467">
        <f t="shared" si="120"/>
        <v>0.83433644472486101</v>
      </c>
      <c r="AM74" s="467">
        <f t="shared" si="120"/>
        <v>1.1863191544179448</v>
      </c>
      <c r="AN74" s="467">
        <f t="shared" si="120"/>
        <v>0.18233652767476805</v>
      </c>
      <c r="AO74" s="467">
        <f t="shared" si="120"/>
        <v>1.196913968093428</v>
      </c>
      <c r="AP74" s="467">
        <f t="shared" si="120"/>
        <v>0.46111527797803614</v>
      </c>
      <c r="AQ74" s="467">
        <f t="shared" si="120"/>
        <v>1.5147888865768437</v>
      </c>
      <c r="AR74" s="467">
        <f t="shared" si="120"/>
        <v>0.26134464428945159</v>
      </c>
      <c r="AS74" s="467">
        <f t="shared" si="120"/>
        <v>0.79228379547662853</v>
      </c>
      <c r="AT74" s="467">
        <f t="shared" si="120"/>
        <v>0.98148978676560472</v>
      </c>
      <c r="AU74" s="467">
        <f t="shared" si="120"/>
        <v>0.94367011719307947</v>
      </c>
      <c r="AV74" s="467">
        <f t="shared" si="120"/>
        <v>0.73401826943818071</v>
      </c>
      <c r="AW74" s="467">
        <f t="shared" si="120"/>
        <v>0.56249003185470337</v>
      </c>
      <c r="AX74" s="467">
        <f t="shared" si="120"/>
        <v>0.13573702536851762</v>
      </c>
      <c r="AY74" s="467">
        <f t="shared" si="120"/>
        <v>2.8881231071901468</v>
      </c>
      <c r="AZ74" s="467">
        <f t="shared" si="120"/>
        <v>0.73625004294598129</v>
      </c>
      <c r="BA74" s="467">
        <f t="shared" si="120"/>
        <v>5.3829468891759138</v>
      </c>
    </row>
    <row r="75" spans="1:53" x14ac:dyDescent="0.2">
      <c r="A75" s="52"/>
      <c r="B75" s="463" t="s">
        <v>997</v>
      </c>
      <c r="C75" s="462"/>
      <c r="D75" s="467">
        <f t="shared" ref="D75:AI75" si="121">D47/AVERAGE($D47:$BA47)</f>
        <v>1.9747439404077884</v>
      </c>
      <c r="E75" s="467">
        <f t="shared" si="121"/>
        <v>0.5143133748868326</v>
      </c>
      <c r="F75" s="467">
        <f t="shared" si="121"/>
        <v>1.0466853354550616</v>
      </c>
      <c r="G75" s="467">
        <f t="shared" si="121"/>
        <v>1.3365744850977517</v>
      </c>
      <c r="H75" s="467">
        <f t="shared" si="121"/>
        <v>0.2336798645691498</v>
      </c>
      <c r="I75" s="467">
        <f t="shared" si="121"/>
        <v>0.6174799944141609</v>
      </c>
      <c r="J75" s="467">
        <f t="shared" si="121"/>
        <v>0.59737097114094639</v>
      </c>
      <c r="K75" s="467">
        <f t="shared" si="121"/>
        <v>0.46167641552813243</v>
      </c>
      <c r="L75" s="467">
        <f t="shared" si="121"/>
        <v>0.70389550252879984</v>
      </c>
      <c r="M75" s="467">
        <f t="shared" si="121"/>
        <v>0.81947466084183629</v>
      </c>
      <c r="N75" s="467">
        <f t="shared" si="121"/>
        <v>0.48483158502072926</v>
      </c>
      <c r="O75" s="467">
        <f t="shared" si="121"/>
        <v>4.7368177005324877E-2</v>
      </c>
      <c r="P75" s="467">
        <f t="shared" si="121"/>
        <v>1.0892536638341461</v>
      </c>
      <c r="Q75" s="467">
        <f t="shared" si="121"/>
        <v>1.2822911777698642</v>
      </c>
      <c r="R75" s="467">
        <f t="shared" si="121"/>
        <v>1.0383645618729906</v>
      </c>
      <c r="S75" s="467">
        <f t="shared" si="121"/>
        <v>1.1072183933114974</v>
      </c>
      <c r="T75" s="467">
        <f t="shared" si="121"/>
        <v>1.6021759358059293</v>
      </c>
      <c r="U75" s="467">
        <f t="shared" si="121"/>
        <v>1.2168568565028453</v>
      </c>
      <c r="V75" s="467">
        <f t="shared" si="121"/>
        <v>0.39632536701596632</v>
      </c>
      <c r="W75" s="467">
        <f t="shared" si="121"/>
        <v>0.48229048071859043</v>
      </c>
      <c r="X75" s="467">
        <f t="shared" si="121"/>
        <v>0.34434840283201612</v>
      </c>
      <c r="Y75" s="467">
        <f t="shared" si="121"/>
        <v>0.79440225445034962</v>
      </c>
      <c r="Z75" s="467">
        <f t="shared" si="121"/>
        <v>0.64495621123132585</v>
      </c>
      <c r="AA75" s="467">
        <f t="shared" si="121"/>
        <v>1.0801177866041825</v>
      </c>
      <c r="AB75" s="467">
        <f t="shared" si="121"/>
        <v>1.1066853564250738</v>
      </c>
      <c r="AC75" s="467">
        <f t="shared" si="121"/>
        <v>1.2354385233501819</v>
      </c>
      <c r="AD75" s="467">
        <f t="shared" si="121"/>
        <v>1.3099476753523074</v>
      </c>
      <c r="AE75" s="467">
        <f t="shared" si="121"/>
        <v>0.64053209277695922</v>
      </c>
      <c r="AF75" s="467">
        <f t="shared" si="121"/>
        <v>0.96031402576248182</v>
      </c>
      <c r="AG75" s="467">
        <f t="shared" si="121"/>
        <v>0.49043443483900234</v>
      </c>
      <c r="AH75" s="467">
        <f t="shared" si="121"/>
        <v>1.2139011938636814</v>
      </c>
      <c r="AI75" s="467">
        <f t="shared" si="121"/>
        <v>0.38302751038718291</v>
      </c>
      <c r="AJ75" s="467">
        <f t="shared" ref="AJ75:BA75" si="122">AJ47/AVERAGE($D47:$BA47)</f>
        <v>0.82285976199179089</v>
      </c>
      <c r="AK75" s="467">
        <f t="shared" si="122"/>
        <v>3.1260000572410322</v>
      </c>
      <c r="AL75" s="467">
        <f t="shared" si="122"/>
        <v>0.83433644472486079</v>
      </c>
      <c r="AM75" s="467">
        <f t="shared" si="122"/>
        <v>1.1863191544179446</v>
      </c>
      <c r="AN75" s="467">
        <f t="shared" si="122"/>
        <v>0.18233652767476805</v>
      </c>
      <c r="AO75" s="467">
        <f t="shared" si="122"/>
        <v>1.1969139680934278</v>
      </c>
      <c r="AP75" s="467">
        <f t="shared" si="122"/>
        <v>0.46111527797803603</v>
      </c>
      <c r="AQ75" s="467">
        <f t="shared" si="122"/>
        <v>1.5147888865768433</v>
      </c>
      <c r="AR75" s="467">
        <f t="shared" si="122"/>
        <v>0.26134464428945153</v>
      </c>
      <c r="AS75" s="467">
        <f t="shared" si="122"/>
        <v>0.79228379547662842</v>
      </c>
      <c r="AT75" s="467">
        <f t="shared" si="122"/>
        <v>0.98148978676560461</v>
      </c>
      <c r="AU75" s="467">
        <f t="shared" si="122"/>
        <v>0.94367011719307914</v>
      </c>
      <c r="AV75" s="467">
        <f t="shared" si="122"/>
        <v>0.7340182694381806</v>
      </c>
      <c r="AW75" s="467">
        <f t="shared" si="122"/>
        <v>0.56249003185470314</v>
      </c>
      <c r="AX75" s="467">
        <f t="shared" si="122"/>
        <v>0.13573702536851756</v>
      </c>
      <c r="AY75" s="467">
        <f t="shared" si="122"/>
        <v>2.8881231071901459</v>
      </c>
      <c r="AZ75" s="467">
        <f t="shared" si="122"/>
        <v>0.73625004294598106</v>
      </c>
      <c r="BA75" s="467">
        <f t="shared" si="122"/>
        <v>5.382946889175912</v>
      </c>
    </row>
    <row r="76" spans="1:53" x14ac:dyDescent="0.2">
      <c r="A76" s="52"/>
      <c r="B76" s="72" t="s">
        <v>793</v>
      </c>
      <c r="C76" s="462"/>
      <c r="D76" s="467">
        <f t="shared" ref="D76:AI76" si="123">D48/AVERAGE($D48:$BA48)</f>
        <v>1.9747439404077889</v>
      </c>
      <c r="E76" s="467">
        <f t="shared" si="123"/>
        <v>0.51431337488683271</v>
      </c>
      <c r="F76" s="467">
        <f t="shared" si="123"/>
        <v>1.0466853354550616</v>
      </c>
      <c r="G76" s="467">
        <f t="shared" si="123"/>
        <v>1.3365744850977517</v>
      </c>
      <c r="H76" s="467">
        <f t="shared" si="123"/>
        <v>0.23367986456914985</v>
      </c>
      <c r="I76" s="467">
        <f t="shared" si="123"/>
        <v>0.61747999441416102</v>
      </c>
      <c r="J76" s="467">
        <f t="shared" si="123"/>
        <v>0.59737097114094651</v>
      </c>
      <c r="K76" s="467">
        <f t="shared" si="123"/>
        <v>0.46167641552813249</v>
      </c>
      <c r="L76" s="467">
        <f t="shared" si="123"/>
        <v>0.70389550252879984</v>
      </c>
      <c r="M76" s="467">
        <f t="shared" si="123"/>
        <v>0.81947466084183629</v>
      </c>
      <c r="N76" s="467">
        <f t="shared" si="123"/>
        <v>0.48483158502072932</v>
      </c>
      <c r="O76" s="467">
        <f t="shared" si="123"/>
        <v>4.7368177005324877E-2</v>
      </c>
      <c r="P76" s="467">
        <f t="shared" si="123"/>
        <v>1.0892536638341461</v>
      </c>
      <c r="Q76" s="467">
        <f t="shared" si="123"/>
        <v>1.2822911777698645</v>
      </c>
      <c r="R76" s="467">
        <f t="shared" si="123"/>
        <v>1.0383645618729906</v>
      </c>
      <c r="S76" s="467">
        <f t="shared" si="123"/>
        <v>1.1072183933114974</v>
      </c>
      <c r="T76" s="467">
        <f t="shared" si="123"/>
        <v>1.6021759358059295</v>
      </c>
      <c r="U76" s="467">
        <f t="shared" si="123"/>
        <v>1.2168568565028455</v>
      </c>
      <c r="V76" s="467">
        <f t="shared" si="123"/>
        <v>0.39632536701596627</v>
      </c>
      <c r="W76" s="467">
        <f t="shared" si="123"/>
        <v>0.48229048071859049</v>
      </c>
      <c r="X76" s="467">
        <f t="shared" si="123"/>
        <v>0.34434840283201612</v>
      </c>
      <c r="Y76" s="467">
        <f t="shared" si="123"/>
        <v>0.79440225445034973</v>
      </c>
      <c r="Z76" s="467">
        <f t="shared" si="123"/>
        <v>0.64495621123132585</v>
      </c>
      <c r="AA76" s="467">
        <f t="shared" si="123"/>
        <v>1.0801177866041825</v>
      </c>
      <c r="AB76" s="467">
        <f t="shared" si="123"/>
        <v>1.106685356425074</v>
      </c>
      <c r="AC76" s="467">
        <f t="shared" si="123"/>
        <v>1.2354385233501819</v>
      </c>
      <c r="AD76" s="467">
        <f t="shared" si="123"/>
        <v>1.3099476753523076</v>
      </c>
      <c r="AE76" s="467">
        <f t="shared" si="123"/>
        <v>0.64053209277695922</v>
      </c>
      <c r="AF76" s="467">
        <f t="shared" si="123"/>
        <v>0.96031402576248193</v>
      </c>
      <c r="AG76" s="467">
        <f t="shared" si="123"/>
        <v>0.49043443483900229</v>
      </c>
      <c r="AH76" s="467">
        <f t="shared" si="123"/>
        <v>1.2139011938636814</v>
      </c>
      <c r="AI76" s="467">
        <f t="shared" si="123"/>
        <v>0.38302751038718297</v>
      </c>
      <c r="AJ76" s="467">
        <f t="shared" ref="AJ76:BA76" si="124">AJ48/AVERAGE($D48:$BA48)</f>
        <v>0.82285976199179089</v>
      </c>
      <c r="AK76" s="467">
        <f t="shared" si="124"/>
        <v>3.1260000572410327</v>
      </c>
      <c r="AL76" s="467">
        <f t="shared" si="124"/>
        <v>0.83433644472486079</v>
      </c>
      <c r="AM76" s="467">
        <f t="shared" si="124"/>
        <v>1.1863191544179446</v>
      </c>
      <c r="AN76" s="467">
        <f t="shared" si="124"/>
        <v>0.18233652767476805</v>
      </c>
      <c r="AO76" s="467">
        <f t="shared" si="124"/>
        <v>1.196913968093428</v>
      </c>
      <c r="AP76" s="467">
        <f t="shared" si="124"/>
        <v>0.46111527797803603</v>
      </c>
      <c r="AQ76" s="467">
        <f t="shared" si="124"/>
        <v>1.5147888865768433</v>
      </c>
      <c r="AR76" s="467">
        <f t="shared" si="124"/>
        <v>0.26134464428945153</v>
      </c>
      <c r="AS76" s="467">
        <f t="shared" si="124"/>
        <v>0.79228379547662842</v>
      </c>
      <c r="AT76" s="467">
        <f t="shared" si="124"/>
        <v>0.9814897867656045</v>
      </c>
      <c r="AU76" s="467">
        <f t="shared" si="124"/>
        <v>0.94367011719307925</v>
      </c>
      <c r="AV76" s="467">
        <f t="shared" si="124"/>
        <v>0.7340182694381806</v>
      </c>
      <c r="AW76" s="467">
        <f t="shared" si="124"/>
        <v>0.56249003185470314</v>
      </c>
      <c r="AX76" s="467">
        <f t="shared" si="124"/>
        <v>0.13573702536851759</v>
      </c>
      <c r="AY76" s="467">
        <f t="shared" si="124"/>
        <v>2.8881231071901459</v>
      </c>
      <c r="AZ76" s="467">
        <f t="shared" si="124"/>
        <v>0.73625004294598106</v>
      </c>
      <c r="BA76" s="467">
        <f t="shared" si="124"/>
        <v>5.3829468891759129</v>
      </c>
    </row>
    <row r="77" spans="1:53" x14ac:dyDescent="0.2">
      <c r="A77" s="52"/>
      <c r="B77" s="72"/>
      <c r="C77" s="462"/>
      <c r="D77" s="461"/>
      <c r="E77" s="461"/>
      <c r="F77" s="461"/>
      <c r="G77" s="461"/>
      <c r="H77" s="461"/>
      <c r="I77" s="461"/>
      <c r="J77" s="461"/>
      <c r="K77" s="461"/>
      <c r="L77" s="461"/>
      <c r="M77" s="461"/>
      <c r="N77" s="461"/>
      <c r="O77" s="461"/>
      <c r="P77" s="461"/>
      <c r="Q77" s="461"/>
      <c r="R77" s="461"/>
      <c r="S77" s="461"/>
      <c r="T77" s="461"/>
      <c r="U77" s="461"/>
      <c r="V77" s="461"/>
      <c r="W77" s="461"/>
      <c r="X77" s="461"/>
      <c r="Y77" s="461"/>
      <c r="Z77" s="461"/>
      <c r="AA77" s="461"/>
      <c r="AB77" s="461"/>
      <c r="AC77" s="461"/>
      <c r="AD77" s="461"/>
      <c r="AE77" s="461"/>
      <c r="AF77" s="461"/>
      <c r="AG77" s="461"/>
      <c r="AH77" s="461"/>
      <c r="AI77" s="461"/>
      <c r="AJ77" s="461"/>
      <c r="AK77" s="461"/>
      <c r="AL77" s="461"/>
      <c r="AM77" s="461"/>
      <c r="AN77" s="461"/>
      <c r="AO77" s="461"/>
      <c r="AP77" s="461"/>
      <c r="AQ77" s="461"/>
      <c r="AR77" s="461"/>
      <c r="AS77" s="461"/>
      <c r="AT77" s="461"/>
      <c r="AU77" s="461"/>
      <c r="AV77" s="461"/>
      <c r="AW77" s="461"/>
      <c r="AX77" s="461"/>
      <c r="AY77" s="461"/>
      <c r="AZ77" s="461"/>
      <c r="BA77" s="461"/>
    </row>
    <row r="78" spans="1:53" x14ac:dyDescent="0.2">
      <c r="A78" s="52"/>
      <c r="B78" s="72"/>
      <c r="C78" s="462"/>
      <c r="D78" s="461"/>
      <c r="E78" s="461"/>
      <c r="F78" s="461"/>
      <c r="G78" s="461"/>
      <c r="H78" s="461"/>
      <c r="I78" s="461"/>
      <c r="J78" s="461"/>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461"/>
      <c r="AI78" s="461"/>
      <c r="AJ78" s="461"/>
      <c r="AK78" s="461"/>
      <c r="AL78" s="461"/>
      <c r="AM78" s="461"/>
      <c r="AN78" s="461"/>
      <c r="AO78" s="461"/>
      <c r="AP78" s="461"/>
      <c r="AQ78" s="461"/>
      <c r="AR78" s="461"/>
      <c r="AS78" s="461"/>
      <c r="AT78" s="461"/>
      <c r="AU78" s="461"/>
      <c r="AV78" s="461"/>
      <c r="AW78" s="461"/>
      <c r="AX78" s="461"/>
      <c r="AY78" s="461"/>
      <c r="AZ78" s="461"/>
      <c r="BA78" s="461"/>
    </row>
    <row r="79" spans="1:53" x14ac:dyDescent="0.2">
      <c r="A79" s="52"/>
      <c r="B79" s="83" t="s">
        <v>791</v>
      </c>
      <c r="C79" s="462"/>
      <c r="D79" s="461">
        <f>D41</f>
        <v>4792.554222390334</v>
      </c>
      <c r="E79" s="461">
        <f t="shared" ref="E79:BA79" si="125">E41</f>
        <v>20504.379299864617</v>
      </c>
      <c r="F79" s="461">
        <f t="shared" si="125"/>
        <v>2512.1120588683248</v>
      </c>
      <c r="G79" s="461">
        <f t="shared" si="125"/>
        <v>4637.1413150968729</v>
      </c>
      <c r="H79" s="461">
        <f t="shared" si="125"/>
        <v>3473.7796609499333</v>
      </c>
      <c r="I79" s="461">
        <f t="shared" si="125"/>
        <v>4442.3687264747086</v>
      </c>
      <c r="J79" s="461">
        <f t="shared" si="125"/>
        <v>3206.7765591765401</v>
      </c>
      <c r="K79" s="461">
        <f t="shared" si="125"/>
        <v>4125.5889805172565</v>
      </c>
      <c r="L79" s="461">
        <f t="shared" si="125"/>
        <v>2424.7230228785252</v>
      </c>
      <c r="M79" s="461">
        <f t="shared" si="125"/>
        <v>3622.7571883095584</v>
      </c>
      <c r="N79" s="461">
        <f t="shared" si="125"/>
        <v>3231.9180570178842</v>
      </c>
      <c r="O79" s="461">
        <f t="shared" si="125"/>
        <v>4046.4367978663217</v>
      </c>
      <c r="P79" s="461">
        <f t="shared" si="125"/>
        <v>4588.755677403421</v>
      </c>
      <c r="Q79" s="461">
        <f t="shared" si="125"/>
        <v>6206.2813355875605</v>
      </c>
      <c r="R79" s="461">
        <f t="shared" si="125"/>
        <v>6536.1116178763268</v>
      </c>
      <c r="S79" s="461">
        <f t="shared" si="125"/>
        <v>5963.1213362941435</v>
      </c>
      <c r="T79" s="461">
        <f t="shared" si="125"/>
        <v>5144.226431444069</v>
      </c>
      <c r="U79" s="461">
        <f t="shared" si="125"/>
        <v>17535.139502217164</v>
      </c>
      <c r="V79" s="461">
        <f t="shared" si="125"/>
        <v>4500.2950598549996</v>
      </c>
      <c r="W79" s="461">
        <f t="shared" si="125"/>
        <v>3030.7186896573926</v>
      </c>
      <c r="X79" s="461">
        <f t="shared" si="125"/>
        <v>3321.89042444812</v>
      </c>
      <c r="Y79" s="461">
        <f t="shared" si="125"/>
        <v>4004.7521459630502</v>
      </c>
      <c r="Z79" s="461">
        <f t="shared" si="125"/>
        <v>5020.6917548467</v>
      </c>
      <c r="AA79" s="461">
        <f t="shared" si="125"/>
        <v>5322.790555833385</v>
      </c>
      <c r="AB79" s="461">
        <f t="shared" si="125"/>
        <v>3893.1672974998769</v>
      </c>
      <c r="AC79" s="461">
        <f t="shared" si="125"/>
        <v>6302.7042089194092</v>
      </c>
      <c r="AD79" s="461">
        <f t="shared" si="125"/>
        <v>6014.425963259825</v>
      </c>
      <c r="AE79" s="461">
        <f t="shared" si="125"/>
        <v>2884.8600087940272</v>
      </c>
      <c r="AF79" s="461">
        <f t="shared" si="125"/>
        <v>3397.7509604972502</v>
      </c>
      <c r="AG79" s="461">
        <f t="shared" si="125"/>
        <v>4646.4306440018336</v>
      </c>
      <c r="AH79" s="461">
        <f t="shared" si="125"/>
        <v>5408.4575070453575</v>
      </c>
      <c r="AI79" s="461">
        <f t="shared" si="125"/>
        <v>2785.4337814876471</v>
      </c>
      <c r="AJ79" s="461">
        <f t="shared" si="125"/>
        <v>2784.4838045972574</v>
      </c>
      <c r="AK79" s="461">
        <f t="shared" si="125"/>
        <v>13372.813038525572</v>
      </c>
      <c r="AL79" s="461">
        <f t="shared" si="125"/>
        <v>4565.0765136872369</v>
      </c>
      <c r="AM79" s="461">
        <f t="shared" si="125"/>
        <v>6546.2560677222427</v>
      </c>
      <c r="AN79" s="461">
        <f t="shared" si="125"/>
        <v>3272.0968691357211</v>
      </c>
      <c r="AO79" s="461">
        <f t="shared" si="125"/>
        <v>4284.6549593579639</v>
      </c>
      <c r="AP79" s="461">
        <f t="shared" si="125"/>
        <v>2902.6713088899596</v>
      </c>
      <c r="AQ79" s="461">
        <f t="shared" si="125"/>
        <v>3573.9902100164595</v>
      </c>
      <c r="AR79" s="461">
        <f t="shared" si="125"/>
        <v>6101.5088763503336</v>
      </c>
      <c r="AS79" s="461">
        <f t="shared" si="125"/>
        <v>4051.3098326553682</v>
      </c>
      <c r="AT79" s="461">
        <f t="shared" si="125"/>
        <v>8306.1424767333756</v>
      </c>
      <c r="AU79" s="461">
        <f t="shared" si="125"/>
        <v>4542.0767233038432</v>
      </c>
      <c r="AV79" s="461">
        <f t="shared" si="125"/>
        <v>3587.5976712118891</v>
      </c>
      <c r="AW79" s="461">
        <f t="shared" si="125"/>
        <v>3440.0418341480367</v>
      </c>
      <c r="AX79" s="461">
        <f t="shared" si="125"/>
        <v>3676.9951989274346</v>
      </c>
      <c r="AY79" s="461">
        <f t="shared" si="125"/>
        <v>5252.9721150590758</v>
      </c>
      <c r="AZ79" s="461">
        <f t="shared" si="125"/>
        <v>4143.935306102112</v>
      </c>
      <c r="BA79" s="461">
        <f t="shared" si="125"/>
        <v>16578.303569540112</v>
      </c>
    </row>
    <row r="80" spans="1:53" x14ac:dyDescent="0.2">
      <c r="A80" s="52"/>
      <c r="B80" s="72" t="s">
        <v>793</v>
      </c>
      <c r="C80" s="462"/>
      <c r="D80" s="461">
        <f>D48</f>
        <v>9080.4333836226051</v>
      </c>
      <c r="E80" s="461">
        <f t="shared" ref="E80:BA80" si="126">E48</f>
        <v>2364.9589414623547</v>
      </c>
      <c r="F80" s="461">
        <f t="shared" si="126"/>
        <v>4812.9563877794189</v>
      </c>
      <c r="G80" s="461">
        <f t="shared" si="126"/>
        <v>6145.9490143687035</v>
      </c>
      <c r="H80" s="461">
        <f t="shared" si="126"/>
        <v>1074.5263727083207</v>
      </c>
      <c r="I80" s="461">
        <f t="shared" si="126"/>
        <v>2839.3483531032348</v>
      </c>
      <c r="J80" s="461">
        <f t="shared" si="126"/>
        <v>2746.8813539618504</v>
      </c>
      <c r="K80" s="461">
        <f t="shared" si="126"/>
        <v>2122.9192556110202</v>
      </c>
      <c r="L80" s="461">
        <f t="shared" si="126"/>
        <v>3236.71139784555</v>
      </c>
      <c r="M80" s="461">
        <f t="shared" si="126"/>
        <v>3768.1771874708988</v>
      </c>
      <c r="N80" s="461">
        <f t="shared" si="126"/>
        <v>2229.3933000486991</v>
      </c>
      <c r="O80" s="461">
        <f t="shared" si="126"/>
        <v>217.8123284741794</v>
      </c>
      <c r="P80" s="461">
        <f t="shared" si="126"/>
        <v>5008.697649311599</v>
      </c>
      <c r="Q80" s="461">
        <f t="shared" si="126"/>
        <v>5896.3389530602963</v>
      </c>
      <c r="R80" s="461">
        <f t="shared" si="126"/>
        <v>4774.695108093405</v>
      </c>
      <c r="S80" s="461">
        <f t="shared" si="126"/>
        <v>5091.3045766888281</v>
      </c>
      <c r="T80" s="461">
        <f t="shared" si="126"/>
        <v>7367.2599045548477</v>
      </c>
      <c r="U80" s="461">
        <f t="shared" si="126"/>
        <v>5595.4533632328739</v>
      </c>
      <c r="V80" s="461">
        <f t="shared" si="126"/>
        <v>1822.4165775564302</v>
      </c>
      <c r="W80" s="461">
        <f t="shared" si="126"/>
        <v>2217.7085808989123</v>
      </c>
      <c r="X80" s="461">
        <f t="shared" si="126"/>
        <v>1583.4117369299365</v>
      </c>
      <c r="Y80" s="461">
        <f t="shared" si="126"/>
        <v>3652.8871433561194</v>
      </c>
      <c r="Z80" s="461">
        <f t="shared" si="126"/>
        <v>2965.6918001380513</v>
      </c>
      <c r="AA80" s="461">
        <f t="shared" si="126"/>
        <v>4966.6882915968417</v>
      </c>
      <c r="AB80" s="461">
        <f t="shared" si="126"/>
        <v>5088.8535217246172</v>
      </c>
      <c r="AC80" s="461">
        <f t="shared" si="126"/>
        <v>5680.8971438219987</v>
      </c>
      <c r="AD80" s="461">
        <f t="shared" si="126"/>
        <v>6023.5113822461453</v>
      </c>
      <c r="AE80" s="461">
        <f t="shared" si="126"/>
        <v>2945.3484472181603</v>
      </c>
      <c r="AF80" s="461">
        <f t="shared" si="126"/>
        <v>4415.7965799322556</v>
      </c>
      <c r="AG80" s="461">
        <f t="shared" si="126"/>
        <v>2255.1567944908006</v>
      </c>
      <c r="AH80" s="461">
        <f t="shared" si="126"/>
        <v>5581.8623871320187</v>
      </c>
      <c r="AI80" s="461">
        <f t="shared" si="126"/>
        <v>1761.2692567358401</v>
      </c>
      <c r="AJ80" s="461">
        <f t="shared" si="126"/>
        <v>3783.7428437871499</v>
      </c>
      <c r="AK80" s="461">
        <f t="shared" si="126"/>
        <v>14374.235917957036</v>
      </c>
      <c r="AL80" s="461">
        <f t="shared" si="126"/>
        <v>3836.5158898971654</v>
      </c>
      <c r="AM80" s="461">
        <f t="shared" si="126"/>
        <v>5455.0323376017768</v>
      </c>
      <c r="AN80" s="461">
        <f t="shared" si="126"/>
        <v>838.43513028321354</v>
      </c>
      <c r="AO80" s="461">
        <f t="shared" si="126"/>
        <v>5503.7502993706603</v>
      </c>
      <c r="AP80" s="461">
        <f t="shared" si="126"/>
        <v>2120.3389858158143</v>
      </c>
      <c r="AQ80" s="461">
        <f t="shared" si="126"/>
        <v>6965.429437890798</v>
      </c>
      <c r="AR80" s="461">
        <f t="shared" si="126"/>
        <v>1201.7368855158284</v>
      </c>
      <c r="AS80" s="461">
        <f t="shared" si="126"/>
        <v>3643.1458674401943</v>
      </c>
      <c r="AT80" s="461">
        <f t="shared" si="126"/>
        <v>4513.1687420651651</v>
      </c>
      <c r="AU80" s="461">
        <f t="shared" si="126"/>
        <v>4339.2631621482988</v>
      </c>
      <c r="AV80" s="461">
        <f t="shared" si="126"/>
        <v>3375.2244337151724</v>
      </c>
      <c r="AW80" s="461">
        <f t="shared" si="126"/>
        <v>2586.4888903791993</v>
      </c>
      <c r="AX80" s="461">
        <f t="shared" si="126"/>
        <v>624.15738634720969</v>
      </c>
      <c r="AY80" s="461">
        <f t="shared" si="126"/>
        <v>13280.410154404954</v>
      </c>
      <c r="AZ80" s="461">
        <f t="shared" si="126"/>
        <v>3385.4867620354362</v>
      </c>
      <c r="BA80" s="461">
        <f t="shared" si="126"/>
        <v>24752.318330773909</v>
      </c>
    </row>
    <row r="81" spans="1:53" x14ac:dyDescent="0.2">
      <c r="A81" s="52"/>
      <c r="B81" s="72"/>
      <c r="C81" s="462"/>
      <c r="D81" s="461"/>
      <c r="E81" s="461"/>
      <c r="F81" s="461"/>
      <c r="G81" s="461"/>
      <c r="H81" s="461"/>
      <c r="I81" s="461"/>
      <c r="J81" s="461"/>
      <c r="K81" s="461"/>
      <c r="L81" s="461"/>
      <c r="M81" s="461"/>
      <c r="N81" s="461"/>
      <c r="O81" s="461"/>
      <c r="P81" s="461"/>
      <c r="Q81" s="461"/>
      <c r="R81" s="461"/>
      <c r="S81" s="461"/>
      <c r="T81" s="461"/>
      <c r="U81" s="461"/>
      <c r="V81" s="461"/>
      <c r="W81" s="461"/>
      <c r="X81" s="461"/>
      <c r="Y81" s="461"/>
      <c r="Z81" s="461"/>
      <c r="AA81" s="461"/>
      <c r="AB81" s="461"/>
      <c r="AC81" s="461"/>
      <c r="AD81" s="461"/>
      <c r="AE81" s="461"/>
      <c r="AF81" s="461"/>
      <c r="AG81" s="461"/>
      <c r="AH81" s="461"/>
      <c r="AI81" s="461"/>
      <c r="AJ81" s="461"/>
      <c r="AK81" s="461"/>
      <c r="AL81" s="461"/>
      <c r="AM81" s="461"/>
      <c r="AN81" s="461"/>
      <c r="AO81" s="461"/>
      <c r="AP81" s="461"/>
      <c r="AQ81" s="461"/>
      <c r="AR81" s="461"/>
      <c r="AS81" s="461"/>
      <c r="AT81" s="461"/>
      <c r="AU81" s="461"/>
      <c r="AV81" s="461"/>
      <c r="AW81" s="461"/>
      <c r="AX81" s="461"/>
      <c r="AY81" s="461"/>
      <c r="AZ81" s="461"/>
      <c r="BA81" s="461"/>
    </row>
    <row r="82" spans="1:53" x14ac:dyDescent="0.2">
      <c r="A82" s="52"/>
      <c r="B82" s="52"/>
      <c r="C82" s="52"/>
      <c r="E82" s="435"/>
      <c r="F82" s="438"/>
    </row>
    <row r="83" spans="1:53" x14ac:dyDescent="0.2">
      <c r="A83" s="52"/>
      <c r="B83" s="52"/>
      <c r="C83" s="52"/>
    </row>
    <row r="84" spans="1:53" x14ac:dyDescent="0.2">
      <c r="A84" s="52"/>
      <c r="B84" s="52"/>
      <c r="C84" s="52"/>
    </row>
    <row r="85" spans="1:53" x14ac:dyDescent="0.2">
      <c r="A85" s="52"/>
      <c r="B85" s="52"/>
      <c r="C85" s="52"/>
    </row>
    <row r="86" spans="1:53" x14ac:dyDescent="0.2">
      <c r="A86" s="52"/>
      <c r="B86" s="52"/>
      <c r="C86" s="52"/>
      <c r="D86" s="439"/>
    </row>
    <row r="87" spans="1:53" x14ac:dyDescent="0.2">
      <c r="A87" s="52">
        <v>1</v>
      </c>
      <c r="B87" s="52" t="s">
        <v>794</v>
      </c>
      <c r="C87" s="52"/>
    </row>
    <row r="88" spans="1:53" x14ac:dyDescent="0.2">
      <c r="A88" s="171" t="s">
        <v>795</v>
      </c>
      <c r="B88" t="s">
        <v>796</v>
      </c>
      <c r="C88" s="52"/>
    </row>
    <row r="89" spans="1:53" x14ac:dyDescent="0.2">
      <c r="A89" s="52">
        <v>14</v>
      </c>
      <c r="B89" s="52" t="s">
        <v>797</v>
      </c>
      <c r="C89" s="52"/>
    </row>
    <row r="90" spans="1:53" x14ac:dyDescent="0.2">
      <c r="A90" s="52">
        <v>15</v>
      </c>
      <c r="B90" t="s">
        <v>798</v>
      </c>
      <c r="C90" s="52"/>
    </row>
    <row r="91" spans="1:53" x14ac:dyDescent="0.2">
      <c r="A91" s="52">
        <v>16</v>
      </c>
      <c r="B91" s="172" t="s">
        <v>799</v>
      </c>
      <c r="C91" s="52"/>
    </row>
    <row r="92" spans="1:53" x14ac:dyDescent="0.2">
      <c r="A92" s="52">
        <v>17</v>
      </c>
      <c r="B92" t="s">
        <v>0</v>
      </c>
      <c r="C92" s="52"/>
    </row>
    <row r="93" spans="1:53" x14ac:dyDescent="0.2">
      <c r="A93" s="52">
        <v>18</v>
      </c>
      <c r="B93" t="s">
        <v>800</v>
      </c>
      <c r="C93" s="52"/>
    </row>
    <row r="94" spans="1:53" x14ac:dyDescent="0.2">
      <c r="A94" s="52">
        <v>19</v>
      </c>
      <c r="B94" t="s">
        <v>796</v>
      </c>
      <c r="C94" s="52"/>
    </row>
    <row r="95" spans="1:53" x14ac:dyDescent="0.2">
      <c r="A95" s="52">
        <v>20</v>
      </c>
      <c r="B95" s="142" t="s">
        <v>922</v>
      </c>
      <c r="C95" s="52"/>
    </row>
    <row r="96" spans="1:53" x14ac:dyDescent="0.2">
      <c r="A96" s="52">
        <v>21</v>
      </c>
      <c r="B96" s="142" t="s">
        <v>938</v>
      </c>
      <c r="C96" s="52"/>
    </row>
    <row r="97" spans="1:4" x14ac:dyDescent="0.2">
      <c r="A97" s="52">
        <v>22</v>
      </c>
      <c r="B97" s="135" t="s">
        <v>876</v>
      </c>
      <c r="C97" s="52"/>
    </row>
    <row r="98" spans="1:4" x14ac:dyDescent="0.2">
      <c r="A98" s="52">
        <v>23</v>
      </c>
      <c r="B98" s="135" t="s">
        <v>801</v>
      </c>
      <c r="C98" s="52"/>
    </row>
    <row r="102" spans="1:4" x14ac:dyDescent="0.2">
      <c r="C102" s="206"/>
      <c r="D102" s="206"/>
    </row>
  </sheetData>
  <phoneticPr fontId="103" type="noConversion"/>
  <hyperlinks>
    <hyperlink ref="B97" r:id="rId1"/>
    <hyperlink ref="B90" r:id="rId2"/>
  </hyperlinks>
  <pageMargins left="0.75" right="0.75" top="1" bottom="1" header="0.3" footer="0.3"/>
  <pageSetup orientation="portrait" horizontalDpi="0" verticalDpi="0"/>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5"/>
  <sheetViews>
    <sheetView workbookViewId="0">
      <selection activeCell="C14" sqref="C14"/>
    </sheetView>
  </sheetViews>
  <sheetFormatPr baseColWidth="10" defaultColWidth="11" defaultRowHeight="16" x14ac:dyDescent="0.2"/>
  <cols>
    <col min="1" max="1" width="4.6640625" bestFit="1" customWidth="1"/>
    <col min="2" max="2" width="71.1640625" style="80" customWidth="1"/>
    <col min="3" max="3" width="15" style="80" customWidth="1"/>
    <col min="4" max="4" width="16.5" bestFit="1" customWidth="1"/>
    <col min="5" max="5" width="15" bestFit="1" customWidth="1"/>
    <col min="6" max="7" width="16.5" bestFit="1" customWidth="1"/>
    <col min="8" max="8" width="17.5" bestFit="1" customWidth="1"/>
    <col min="9" max="10" width="16.5" bestFit="1" customWidth="1"/>
    <col min="11" max="11" width="15" bestFit="1" customWidth="1"/>
    <col min="12" max="12" width="17.5" bestFit="1" customWidth="1"/>
    <col min="13" max="13" width="16.5" bestFit="1" customWidth="1"/>
    <col min="14" max="14" width="15" bestFit="1" customWidth="1"/>
    <col min="15" max="21" width="16.5" bestFit="1" customWidth="1"/>
    <col min="22" max="22" width="15" bestFit="1" customWidth="1"/>
    <col min="23" max="28" width="16.5" bestFit="1" customWidth="1"/>
    <col min="29" max="29" width="15" bestFit="1" customWidth="1"/>
    <col min="30" max="31" width="16.5" bestFit="1" customWidth="1"/>
    <col min="32" max="32" width="15" bestFit="1" customWidth="1"/>
    <col min="33" max="34" width="16.5" bestFit="1" customWidth="1"/>
    <col min="35" max="35" width="17.5" bestFit="1" customWidth="1"/>
    <col min="36" max="36" width="16.5" bestFit="1" customWidth="1"/>
    <col min="37" max="37" width="15" bestFit="1" customWidth="1"/>
    <col min="38" max="41" width="16.5" bestFit="1" customWidth="1"/>
    <col min="42" max="42" width="15" bestFit="1" customWidth="1"/>
    <col min="43" max="43" width="16.5" bestFit="1" customWidth="1"/>
    <col min="44" max="44" width="15" bestFit="1" customWidth="1"/>
    <col min="45" max="45" width="16.5" bestFit="1" customWidth="1"/>
    <col min="46" max="46" width="17.5" bestFit="1" customWidth="1"/>
    <col min="47" max="47" width="16.5" bestFit="1" customWidth="1"/>
    <col min="48" max="48" width="15" bestFit="1" customWidth="1"/>
    <col min="49" max="52" width="16.5" bestFit="1" customWidth="1"/>
    <col min="53" max="53" width="15" bestFit="1" customWidth="1"/>
  </cols>
  <sheetData>
    <row r="1" spans="1:55" x14ac:dyDescent="0.2">
      <c r="B1">
        <v>2011</v>
      </c>
      <c r="D1" s="3">
        <v>1</v>
      </c>
      <c r="E1" s="3">
        <f>D1+1</f>
        <v>2</v>
      </c>
      <c r="F1" s="3">
        <f t="shared" ref="F1:K1" si="0">E1+1</f>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B1" s="3"/>
      <c r="BC1" s="2"/>
    </row>
    <row r="2" spans="1:55" x14ac:dyDescent="0.2">
      <c r="B2"/>
      <c r="C2" s="24"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c r="BB2" s="3"/>
      <c r="BC2" s="3"/>
    </row>
    <row r="3" spans="1:55" x14ac:dyDescent="0.2">
      <c r="B3"/>
      <c r="C3" s="24"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c r="BB3" s="3"/>
      <c r="BC3" s="2"/>
    </row>
    <row r="4" spans="1:55" x14ac:dyDescent="0.2">
      <c r="A4">
        <v>1</v>
      </c>
      <c r="B4" s="243" t="s">
        <v>666</v>
      </c>
      <c r="C4" s="320">
        <f>SUM(D4:BA4)</f>
        <v>2134.5583133048162</v>
      </c>
      <c r="D4" s="321">
        <f>(D13*D17)/1000000000</f>
        <v>28.641226684752002</v>
      </c>
      <c r="E4" s="321">
        <f>(E13*E17)/1000000000</f>
        <v>5.3207307515520004</v>
      </c>
      <c r="F4" s="321">
        <f>(F13*F17)/1000000000</f>
        <v>40.177140808992</v>
      </c>
      <c r="G4" s="321">
        <f t="shared" ref="G4:BA4" si="43">(G13*G17)/1000000000</f>
        <v>16.651523637252001</v>
      </c>
      <c r="H4" s="321">
        <f t="shared" si="43"/>
        <v>280.62657095972401</v>
      </c>
      <c r="I4" s="321">
        <f t="shared" si="43"/>
        <v>34.961458796591998</v>
      </c>
      <c r="J4" s="321">
        <f t="shared" si="43"/>
        <v>28.204884784560001</v>
      </c>
      <c r="K4" s="321">
        <f t="shared" si="43"/>
        <v>5.8658611146120005</v>
      </c>
      <c r="L4" s="321">
        <f t="shared" si="43"/>
        <v>122.77043806878</v>
      </c>
      <c r="M4" s="321">
        <f t="shared" si="43"/>
        <v>57.922465667400004</v>
      </c>
      <c r="N4" s="321">
        <f t="shared" si="43"/>
        <v>13.721056882944001</v>
      </c>
      <c r="O4" s="321">
        <f t="shared" si="43"/>
        <v>9.3750699661020018</v>
      </c>
      <c r="P4" s="321">
        <f t="shared" si="43"/>
        <v>91.523474096208005</v>
      </c>
      <c r="Q4" s="321">
        <f t="shared" si="43"/>
        <v>39.505475151624012</v>
      </c>
      <c r="R4" s="321">
        <f t="shared" si="43"/>
        <v>19.865401910315999</v>
      </c>
      <c r="S4" s="321">
        <f t="shared" si="43"/>
        <v>16.709457556488001</v>
      </c>
      <c r="T4" s="321">
        <f t="shared" si="43"/>
        <v>26.507435792400003</v>
      </c>
      <c r="U4" s="321">
        <f t="shared" si="43"/>
        <v>26.909358233472005</v>
      </c>
      <c r="V4" s="321">
        <f t="shared" si="43"/>
        <v>9.2756988032640013</v>
      </c>
      <c r="W4" s="321">
        <f t="shared" si="43"/>
        <v>40.615283390256003</v>
      </c>
      <c r="X4" s="321">
        <f t="shared" si="43"/>
        <v>58.612093745940008</v>
      </c>
      <c r="Y4" s="321">
        <f t="shared" si="43"/>
        <v>70.892577193536013</v>
      </c>
      <c r="Z4" s="321">
        <f t="shared" si="43"/>
        <v>38.057934080166</v>
      </c>
      <c r="AA4" s="321">
        <f t="shared" si="43"/>
        <v>16.909087822920004</v>
      </c>
      <c r="AB4" s="321">
        <f t="shared" si="43"/>
        <v>37.215754545816004</v>
      </c>
      <c r="AC4" s="321">
        <f t="shared" si="43"/>
        <v>6.2614980655920007</v>
      </c>
      <c r="AD4" s="321">
        <f t="shared" si="43"/>
        <v>11.1504330924</v>
      </c>
      <c r="AE4" s="321">
        <f t="shared" si="43"/>
        <v>23.504277200291998</v>
      </c>
      <c r="AF4" s="321">
        <f t="shared" si="43"/>
        <v>9.5203030467900014</v>
      </c>
      <c r="AG4" s="321">
        <f t="shared" si="43"/>
        <v>64.733565656447993</v>
      </c>
      <c r="AH4" s="321">
        <f t="shared" si="43"/>
        <v>12.618548802576003</v>
      </c>
      <c r="AI4" s="321">
        <f t="shared" si="43"/>
        <v>188.47182125088</v>
      </c>
      <c r="AJ4" s="321">
        <f t="shared" si="43"/>
        <v>59.219362652160001</v>
      </c>
      <c r="AK4" s="321">
        <f t="shared" si="43"/>
        <v>4.3650241492800008</v>
      </c>
      <c r="AL4" s="321">
        <f t="shared" si="43"/>
        <v>76.727506432788005</v>
      </c>
      <c r="AM4" s="321">
        <f t="shared" si="43"/>
        <v>22.0932897066</v>
      </c>
      <c r="AN4" s="321">
        <f t="shared" si="43"/>
        <v>27.248304613626008</v>
      </c>
      <c r="AO4" s="321">
        <f t="shared" si="43"/>
        <v>89.561212423092016</v>
      </c>
      <c r="AP4" s="321">
        <f t="shared" si="43"/>
        <v>8.3598822766080012</v>
      </c>
      <c r="AQ4" s="321">
        <f t="shared" si="43"/>
        <v>28.709180591580001</v>
      </c>
      <c r="AR4" s="321">
        <f t="shared" si="43"/>
        <v>4.9813026524280009</v>
      </c>
      <c r="AS4" s="321">
        <f t="shared" si="43"/>
        <v>38.210145607242005</v>
      </c>
      <c r="AT4" s="321">
        <f t="shared" si="43"/>
        <v>145.62937149851999</v>
      </c>
      <c r="AU4" s="321">
        <f t="shared" si="43"/>
        <v>15.909878697983999</v>
      </c>
      <c r="AV4" s="321">
        <f t="shared" si="43"/>
        <v>4.7294279684999996</v>
      </c>
      <c r="AW4" s="321">
        <f t="shared" si="43"/>
        <v>51.844108840524001</v>
      </c>
      <c r="AX4" s="321">
        <f t="shared" si="43"/>
        <v>51.081341500176009</v>
      </c>
      <c r="AY4" s="321">
        <f t="shared" si="43"/>
        <v>11.935847374296001</v>
      </c>
      <c r="AZ4" s="321">
        <f t="shared" si="43"/>
        <v>37.305450851046004</v>
      </c>
      <c r="BA4" s="321">
        <f t="shared" si="43"/>
        <v>3.5497679077200002</v>
      </c>
    </row>
    <row r="5" spans="1:55" x14ac:dyDescent="0.2">
      <c r="A5">
        <v>2</v>
      </c>
      <c r="B5" s="247" t="s">
        <v>667</v>
      </c>
      <c r="C5" s="247">
        <v>1.77</v>
      </c>
    </row>
    <row r="6" spans="1:55" x14ac:dyDescent="0.2">
      <c r="A6">
        <v>3</v>
      </c>
      <c r="B6" s="247" t="s">
        <v>735</v>
      </c>
      <c r="C6" s="247">
        <v>0.51</v>
      </c>
    </row>
    <row r="7" spans="1:55" x14ac:dyDescent="0.2">
      <c r="A7">
        <v>4</v>
      </c>
      <c r="B7" t="s">
        <v>736</v>
      </c>
      <c r="C7">
        <f>SUM(C6+C5)</f>
        <v>2.2800000000000002</v>
      </c>
    </row>
    <row r="8" spans="1:55" x14ac:dyDescent="0.2">
      <c r="A8">
        <v>5</v>
      </c>
      <c r="B8" t="s">
        <v>668</v>
      </c>
      <c r="C8">
        <f>C7*365</f>
        <v>832.2</v>
      </c>
    </row>
    <row r="9" spans="1:55" x14ac:dyDescent="0.2">
      <c r="A9">
        <v>6</v>
      </c>
      <c r="B9" t="s">
        <v>256</v>
      </c>
      <c r="C9" s="5"/>
      <c r="D9" s="5">
        <f>'GPI Summary'!D32</f>
        <v>4803689</v>
      </c>
      <c r="E9" s="5">
        <f>'GPI Summary'!E32</f>
        <v>723860</v>
      </c>
      <c r="F9" s="5">
        <f>'GPI Summary'!F32</f>
        <v>6467315</v>
      </c>
      <c r="G9" s="5">
        <f>'GPI Summary'!G32</f>
        <v>2938582</v>
      </c>
      <c r="H9" s="5">
        <f>'GPI Summary'!H32</f>
        <v>37683933</v>
      </c>
      <c r="I9" s="5">
        <f>'GPI Summary'!I32</f>
        <v>5116302</v>
      </c>
      <c r="J9" s="5">
        <f>'GPI Summary'!J32</f>
        <v>3586717</v>
      </c>
      <c r="K9" s="5">
        <f>'GPI Summary'!K32</f>
        <v>908137</v>
      </c>
      <c r="L9" s="5">
        <f>'GPI Summary'!L32</f>
        <v>19082262</v>
      </c>
      <c r="M9" s="5">
        <f>'GPI Summary'!M32</f>
        <v>9812460</v>
      </c>
      <c r="N9" s="5">
        <f>'GPI Summary'!N32</f>
        <v>1378129</v>
      </c>
      <c r="O9" s="5">
        <f>'GPI Summary'!O32</f>
        <v>1583744</v>
      </c>
      <c r="P9" s="5">
        <f>'GPI Summary'!P32</f>
        <v>12859752</v>
      </c>
      <c r="Q9" s="5">
        <f>'GPI Summary'!Q32</f>
        <v>6516353</v>
      </c>
      <c r="R9" s="5">
        <f>'GPI Summary'!R32</f>
        <v>3064097</v>
      </c>
      <c r="S9" s="5">
        <f>'GPI Summary'!S32</f>
        <v>2870386</v>
      </c>
      <c r="T9" s="5">
        <f>'GPI Summary'!T32</f>
        <v>4366814</v>
      </c>
      <c r="U9" s="5">
        <f>'GPI Summary'!U32</f>
        <v>4574766</v>
      </c>
      <c r="V9" s="5">
        <f>'GPI Summary'!V32</f>
        <v>1328544</v>
      </c>
      <c r="W9" s="5">
        <f>'GPI Summary'!W32</f>
        <v>5839572</v>
      </c>
      <c r="X9" s="5">
        <f>'GPI Summary'!X32</f>
        <v>6607003</v>
      </c>
      <c r="Y9" s="5">
        <f>'GPI Summary'!Y32</f>
        <v>9876801</v>
      </c>
      <c r="Z9" s="5">
        <f>'GPI Summary'!Z32</f>
        <v>5347299</v>
      </c>
      <c r="AA9" s="5">
        <f>'GPI Summary'!AA32</f>
        <v>2977457</v>
      </c>
      <c r="AB9" s="5">
        <f>'GPI Summary'!AB32</f>
        <v>6008984</v>
      </c>
      <c r="AC9" s="5">
        <f>'GPI Summary'!AC32</f>
        <v>997667</v>
      </c>
      <c r="AD9" s="5">
        <f>'GPI Summary'!AD32</f>
        <v>1842234</v>
      </c>
      <c r="AE9" s="5">
        <f>'GPI Summary'!AE32</f>
        <v>2720028</v>
      </c>
      <c r="AF9" s="5">
        <f>'GPI Summary'!AF32</f>
        <v>1317807</v>
      </c>
      <c r="AG9" s="5">
        <f>'GPI Summary'!AG32</f>
        <v>8834773</v>
      </c>
      <c r="AH9" s="5">
        <f>'GPI Summary'!AH32</f>
        <v>2078674</v>
      </c>
      <c r="AI9" s="5">
        <f>'GPI Summary'!AI32</f>
        <v>19501616</v>
      </c>
      <c r="AJ9" s="5">
        <f>'GPI Summary'!AJ32</f>
        <v>9651103</v>
      </c>
      <c r="AK9" s="5">
        <f>'GPI Summary'!AK32</f>
        <v>684740</v>
      </c>
      <c r="AL9" s="5">
        <f>'GPI Summary'!AL32</f>
        <v>11541007</v>
      </c>
      <c r="AM9" s="5">
        <f>'GPI Summary'!AM32</f>
        <v>3784163</v>
      </c>
      <c r="AN9" s="5">
        <f>'GPI Summary'!AN32</f>
        <v>3868229</v>
      </c>
      <c r="AO9" s="5">
        <f>'GPI Summary'!AO32</f>
        <v>12743948</v>
      </c>
      <c r="AP9" s="5">
        <f>'GPI Summary'!AP32</f>
        <v>1050646</v>
      </c>
      <c r="AQ9" s="5">
        <f>'GPI Summary'!AQ32</f>
        <v>4673348</v>
      </c>
      <c r="AR9" s="5">
        <f>'GPI Summary'!AR32</f>
        <v>823593</v>
      </c>
      <c r="AS9" s="5">
        <f>'GPI Summary'!AS32</f>
        <v>6399787</v>
      </c>
      <c r="AT9" s="5">
        <f>'GPI Summary'!AT32</f>
        <v>25631778</v>
      </c>
      <c r="AU9" s="5">
        <f>'GPI Summary'!AU32</f>
        <v>2814347</v>
      </c>
      <c r="AV9" s="5">
        <f>'GPI Summary'!AV32</f>
        <v>626592</v>
      </c>
      <c r="AW9" s="5">
        <f>'GPI Summary'!AW32</f>
        <v>8104384</v>
      </c>
      <c r="AX9" s="5">
        <f>'GPI Summary'!AX32</f>
        <v>6823267</v>
      </c>
      <c r="AY9" s="5">
        <f>'GPI Summary'!AY32</f>
        <v>1854908</v>
      </c>
      <c r="AZ9" s="5">
        <f>'GPI Summary'!AZ32</f>
        <v>5709843</v>
      </c>
      <c r="BA9" s="5">
        <f>'GPI Summary'!BA32</f>
        <v>567356</v>
      </c>
    </row>
    <row r="10" spans="1:55" x14ac:dyDescent="0.2">
      <c r="A10">
        <v>7</v>
      </c>
      <c r="B10" s="322" t="s">
        <v>669</v>
      </c>
      <c r="C10" s="247"/>
      <c r="D10" s="217">
        <v>927982</v>
      </c>
      <c r="E10" s="217">
        <v>157556</v>
      </c>
      <c r="F10" s="217">
        <v>1353096</v>
      </c>
      <c r="G10" s="217">
        <v>595603</v>
      </c>
      <c r="H10" s="217">
        <v>7629522</v>
      </c>
      <c r="I10" s="217">
        <v>1029640</v>
      </c>
      <c r="J10" s="217">
        <v>654887</v>
      </c>
      <c r="K10" s="217">
        <v>169288</v>
      </c>
      <c r="L10" s="217">
        <v>3287277</v>
      </c>
      <c r="M10" s="217">
        <v>2078947</v>
      </c>
      <c r="N10" s="217">
        <v>253457</v>
      </c>
      <c r="O10" s="217">
        <v>360573</v>
      </c>
      <c r="P10" s="217">
        <v>2552560</v>
      </c>
      <c r="Q10" s="217">
        <v>1322575</v>
      </c>
      <c r="R10" s="217">
        <v>600635</v>
      </c>
      <c r="S10" s="217">
        <v>604172</v>
      </c>
      <c r="T10" s="217">
        <v>851114</v>
      </c>
      <c r="U10" s="217">
        <v>933414</v>
      </c>
      <c r="V10" s="217">
        <v>220592</v>
      </c>
      <c r="W10" s="217">
        <v>1110433</v>
      </c>
      <c r="X10" s="217">
        <v>1147290</v>
      </c>
      <c r="Y10" s="217">
        <v>1870509</v>
      </c>
      <c r="Z10" s="217">
        <v>1061290</v>
      </c>
      <c r="AA10" s="217">
        <v>628493</v>
      </c>
      <c r="AB10" s="217">
        <v>1169187</v>
      </c>
      <c r="AC10" s="217">
        <v>183378</v>
      </c>
      <c r="AD10" s="217">
        <v>385849</v>
      </c>
      <c r="AE10" s="217">
        <v>550785</v>
      </c>
      <c r="AF10" s="217">
        <v>227252</v>
      </c>
      <c r="AG10" s="217">
        <v>1678741</v>
      </c>
      <c r="AH10" s="217">
        <v>434110</v>
      </c>
      <c r="AI10" s="217">
        <v>3507676</v>
      </c>
      <c r="AJ10" s="217">
        <v>1916319</v>
      </c>
      <c r="AK10" s="217">
        <v>126744</v>
      </c>
      <c r="AL10" s="217">
        <v>2218621</v>
      </c>
      <c r="AM10" s="217">
        <v>784383</v>
      </c>
      <c r="AN10" s="217">
        <v>716882</v>
      </c>
      <c r="AO10" s="217">
        <v>2254687</v>
      </c>
      <c r="AP10" s="217">
        <v>178639</v>
      </c>
      <c r="AQ10" s="217">
        <v>903082</v>
      </c>
      <c r="AR10" s="217">
        <v>168702</v>
      </c>
      <c r="AS10" s="217">
        <v>1235038</v>
      </c>
      <c r="AT10" s="217">
        <v>5836163</v>
      </c>
      <c r="AU10" s="217">
        <v>752011</v>
      </c>
      <c r="AV10" s="217">
        <v>101842</v>
      </c>
      <c r="AW10" s="217">
        <v>1539826</v>
      </c>
      <c r="AX10" s="217">
        <v>1313295</v>
      </c>
      <c r="AY10" s="217">
        <v>319306</v>
      </c>
      <c r="AZ10" s="217">
        <v>1093210</v>
      </c>
      <c r="BA10" s="217">
        <v>113577</v>
      </c>
    </row>
    <row r="11" spans="1:55" s="250" customFormat="1" x14ac:dyDescent="0.2">
      <c r="A11" s="250">
        <v>8</v>
      </c>
      <c r="B11" s="250" t="s">
        <v>670</v>
      </c>
      <c r="D11" s="323">
        <f>D10/D9</f>
        <v>0.19318111559678405</v>
      </c>
      <c r="E11" s="323">
        <f t="shared" ref="E11:BA11" si="44">E10/E9</f>
        <v>0.21766087364960074</v>
      </c>
      <c r="F11" s="323">
        <f t="shared" si="44"/>
        <v>0.20922067349433265</v>
      </c>
      <c r="G11" s="323">
        <f t="shared" si="44"/>
        <v>0.20268381144375075</v>
      </c>
      <c r="H11" s="323">
        <f t="shared" si="44"/>
        <v>0.20246087370975849</v>
      </c>
      <c r="I11" s="323">
        <f t="shared" si="44"/>
        <v>0.20124691622972998</v>
      </c>
      <c r="J11" s="323">
        <f t="shared" si="44"/>
        <v>0.1825867499443084</v>
      </c>
      <c r="K11" s="323">
        <f t="shared" si="44"/>
        <v>0.18641240253397889</v>
      </c>
      <c r="L11" s="323">
        <f t="shared" si="44"/>
        <v>0.17226872788980677</v>
      </c>
      <c r="M11" s="323">
        <f t="shared" si="44"/>
        <v>0.21186807385711637</v>
      </c>
      <c r="N11" s="323">
        <f t="shared" si="44"/>
        <v>0.18391384260834798</v>
      </c>
      <c r="O11" s="323">
        <f t="shared" si="44"/>
        <v>0.22767126505293786</v>
      </c>
      <c r="P11" s="323">
        <f t="shared" si="44"/>
        <v>0.19849216376801046</v>
      </c>
      <c r="Q11" s="323">
        <f t="shared" si="44"/>
        <v>0.20296245461226547</v>
      </c>
      <c r="R11" s="323">
        <f t="shared" si="44"/>
        <v>0.19602349403429462</v>
      </c>
      <c r="S11" s="323">
        <f t="shared" si="44"/>
        <v>0.210484582909755</v>
      </c>
      <c r="T11" s="323">
        <f t="shared" si="44"/>
        <v>0.19490502686855909</v>
      </c>
      <c r="U11" s="323">
        <f t="shared" si="44"/>
        <v>0.2040353539394146</v>
      </c>
      <c r="V11" s="323">
        <f t="shared" si="44"/>
        <v>0.16604041717850518</v>
      </c>
      <c r="W11" s="323">
        <f t="shared" si="44"/>
        <v>0.19015657311871487</v>
      </c>
      <c r="X11" s="323">
        <f t="shared" si="44"/>
        <v>0.17364756758851177</v>
      </c>
      <c r="Y11" s="323">
        <f t="shared" si="44"/>
        <v>0.18938409308844029</v>
      </c>
      <c r="Z11" s="323">
        <f t="shared" si="44"/>
        <v>0.19847216323605618</v>
      </c>
      <c r="AA11" s="323">
        <f t="shared" si="44"/>
        <v>0.21108382085786628</v>
      </c>
      <c r="AB11" s="323">
        <f t="shared" si="44"/>
        <v>0.19457315912307305</v>
      </c>
      <c r="AC11" s="323">
        <f t="shared" si="44"/>
        <v>0.18380682131412585</v>
      </c>
      <c r="AD11" s="323">
        <f t="shared" si="44"/>
        <v>0.20944624841361087</v>
      </c>
      <c r="AE11" s="323">
        <f t="shared" si="44"/>
        <v>0.20249240081352105</v>
      </c>
      <c r="AF11" s="323">
        <f t="shared" si="44"/>
        <v>0.17244710340740335</v>
      </c>
      <c r="AG11" s="323">
        <f t="shared" si="44"/>
        <v>0.19001518205391354</v>
      </c>
      <c r="AH11" s="323">
        <f t="shared" si="44"/>
        <v>0.20883986618392303</v>
      </c>
      <c r="AI11" s="323">
        <f t="shared" si="44"/>
        <v>0.17986591470163293</v>
      </c>
      <c r="AJ11" s="323">
        <f t="shared" si="44"/>
        <v>0.19855958432937665</v>
      </c>
      <c r="AK11" s="323">
        <f t="shared" si="44"/>
        <v>0.18509799339895436</v>
      </c>
      <c r="AL11" s="323">
        <f t="shared" si="44"/>
        <v>0.19223807766514656</v>
      </c>
      <c r="AM11" s="323">
        <f t="shared" si="44"/>
        <v>0.20728044748600946</v>
      </c>
      <c r="AN11" s="323">
        <f t="shared" si="44"/>
        <v>0.18532563609858671</v>
      </c>
      <c r="AO11" s="323">
        <f t="shared" si="44"/>
        <v>0.17692217513756334</v>
      </c>
      <c r="AP11" s="323">
        <f t="shared" si="44"/>
        <v>0.17002777338894356</v>
      </c>
      <c r="AQ11" s="323">
        <f t="shared" si="44"/>
        <v>0.19324090566334884</v>
      </c>
      <c r="AR11" s="323">
        <f t="shared" si="44"/>
        <v>0.20483661225872488</v>
      </c>
      <c r="AS11" s="323">
        <f t="shared" si="44"/>
        <v>0.19298111015257227</v>
      </c>
      <c r="AT11" s="323">
        <f t="shared" si="44"/>
        <v>0.22769247611304999</v>
      </c>
      <c r="AU11" s="323">
        <f t="shared" si="44"/>
        <v>0.26720621160077274</v>
      </c>
      <c r="AV11" s="323">
        <f t="shared" si="44"/>
        <v>0.1625331954445636</v>
      </c>
      <c r="AW11" s="323">
        <f t="shared" si="44"/>
        <v>0.18999914120554998</v>
      </c>
      <c r="AX11" s="323">
        <f t="shared" si="44"/>
        <v>0.19247304846783805</v>
      </c>
      <c r="AY11" s="323">
        <f t="shared" si="44"/>
        <v>0.17214115201400823</v>
      </c>
      <c r="AZ11" s="323">
        <f t="shared" si="44"/>
        <v>0.19146060583452121</v>
      </c>
      <c r="BA11" s="323">
        <f t="shared" si="44"/>
        <v>0.20018647903609021</v>
      </c>
    </row>
    <row r="12" spans="1:55" ht="17" thickBot="1" x14ac:dyDescent="0.25">
      <c r="A12">
        <v>9</v>
      </c>
      <c r="B12" t="s">
        <v>681</v>
      </c>
      <c r="C12" s="127"/>
      <c r="D12" s="302">
        <f>D9-D10</f>
        <v>3875707</v>
      </c>
      <c r="E12" s="302">
        <f t="shared" ref="E12:BA12" si="45">(1-E11)*E9</f>
        <v>566304</v>
      </c>
      <c r="F12" s="302">
        <f t="shared" si="45"/>
        <v>5114219</v>
      </c>
      <c r="G12" s="302">
        <f t="shared" si="45"/>
        <v>2342979</v>
      </c>
      <c r="H12" s="302">
        <f t="shared" si="45"/>
        <v>30054411</v>
      </c>
      <c r="I12" s="302">
        <f t="shared" si="45"/>
        <v>4086662</v>
      </c>
      <c r="J12" s="302">
        <f t="shared" si="45"/>
        <v>2931830</v>
      </c>
      <c r="K12" s="302">
        <f t="shared" si="45"/>
        <v>738849.00000000012</v>
      </c>
      <c r="L12" s="302">
        <f t="shared" si="45"/>
        <v>15794985</v>
      </c>
      <c r="M12" s="302">
        <f t="shared" si="45"/>
        <v>7733513</v>
      </c>
      <c r="N12" s="302">
        <f t="shared" si="45"/>
        <v>1124672</v>
      </c>
      <c r="O12" s="302">
        <f t="shared" si="45"/>
        <v>1223171</v>
      </c>
      <c r="P12" s="302">
        <f t="shared" si="45"/>
        <v>10307192</v>
      </c>
      <c r="Q12" s="302">
        <f t="shared" si="45"/>
        <v>5193778</v>
      </c>
      <c r="R12" s="302">
        <f t="shared" si="45"/>
        <v>2463462</v>
      </c>
      <c r="S12" s="302">
        <f t="shared" si="45"/>
        <v>2266214</v>
      </c>
      <c r="T12" s="302">
        <f t="shared" si="45"/>
        <v>3515700</v>
      </c>
      <c r="U12" s="302">
        <f t="shared" si="45"/>
        <v>3641352</v>
      </c>
      <c r="V12" s="302">
        <f t="shared" si="45"/>
        <v>1107952</v>
      </c>
      <c r="W12" s="302">
        <f t="shared" si="45"/>
        <v>4729139</v>
      </c>
      <c r="X12" s="302">
        <f t="shared" si="45"/>
        <v>5459713</v>
      </c>
      <c r="Y12" s="302">
        <f t="shared" si="45"/>
        <v>8006292</v>
      </c>
      <c r="Z12" s="302">
        <f t="shared" si="45"/>
        <v>4286009</v>
      </c>
      <c r="AA12" s="302">
        <f t="shared" si="45"/>
        <v>2348964</v>
      </c>
      <c r="AB12" s="302">
        <f t="shared" si="45"/>
        <v>4839797</v>
      </c>
      <c r="AC12" s="302">
        <f t="shared" si="45"/>
        <v>814289</v>
      </c>
      <c r="AD12" s="302">
        <f t="shared" si="45"/>
        <v>1456385</v>
      </c>
      <c r="AE12" s="302">
        <f t="shared" si="45"/>
        <v>2169243</v>
      </c>
      <c r="AF12" s="302">
        <f t="shared" si="45"/>
        <v>1090555</v>
      </c>
      <c r="AG12" s="302">
        <f t="shared" si="45"/>
        <v>7156032</v>
      </c>
      <c r="AH12" s="302">
        <f t="shared" si="45"/>
        <v>1644564</v>
      </c>
      <c r="AI12" s="302">
        <f t="shared" si="45"/>
        <v>15993940</v>
      </c>
      <c r="AJ12" s="302">
        <f t="shared" si="45"/>
        <v>7734784.0000000009</v>
      </c>
      <c r="AK12" s="302">
        <f t="shared" si="45"/>
        <v>557996</v>
      </c>
      <c r="AL12" s="302">
        <f t="shared" si="45"/>
        <v>9322386</v>
      </c>
      <c r="AM12" s="302">
        <f t="shared" si="45"/>
        <v>2999780</v>
      </c>
      <c r="AN12" s="302">
        <f t="shared" si="45"/>
        <v>3151347.0000000005</v>
      </c>
      <c r="AO12" s="302">
        <f t="shared" si="45"/>
        <v>10489261</v>
      </c>
      <c r="AP12" s="302">
        <f t="shared" si="45"/>
        <v>872007</v>
      </c>
      <c r="AQ12" s="302">
        <f t="shared" si="45"/>
        <v>3770266</v>
      </c>
      <c r="AR12" s="302">
        <f t="shared" si="45"/>
        <v>654891</v>
      </c>
      <c r="AS12" s="302">
        <f t="shared" si="45"/>
        <v>5164749</v>
      </c>
      <c r="AT12" s="302">
        <f t="shared" si="45"/>
        <v>19795615</v>
      </c>
      <c r="AU12" s="302">
        <f t="shared" si="45"/>
        <v>2062336</v>
      </c>
      <c r="AV12" s="302">
        <f t="shared" si="45"/>
        <v>524750</v>
      </c>
      <c r="AW12" s="302">
        <f t="shared" si="45"/>
        <v>6564558</v>
      </c>
      <c r="AX12" s="302">
        <f t="shared" si="45"/>
        <v>5509972</v>
      </c>
      <c r="AY12" s="302">
        <f t="shared" si="45"/>
        <v>1535602</v>
      </c>
      <c r="AZ12" s="302">
        <f t="shared" si="45"/>
        <v>4616633</v>
      </c>
      <c r="BA12" s="302">
        <f t="shared" si="45"/>
        <v>453779</v>
      </c>
    </row>
    <row r="13" spans="1:55" x14ac:dyDescent="0.2">
      <c r="A13">
        <v>10</v>
      </c>
      <c r="B13" s="127" t="s">
        <v>680</v>
      </c>
      <c r="C13" s="449" t="s">
        <v>1038</v>
      </c>
      <c r="D13" s="302">
        <f>D12*$C8</f>
        <v>3225363365.4000001</v>
      </c>
      <c r="E13" s="302">
        <f>E12*$C8</f>
        <v>471278188.80000001</v>
      </c>
      <c r="F13" s="302">
        <f t="shared" ref="F13:BA13" si="46">F12*$C8</f>
        <v>4256053051.8000002</v>
      </c>
      <c r="G13" s="302">
        <f t="shared" si="46"/>
        <v>1949827123.8000002</v>
      </c>
      <c r="H13" s="302">
        <f t="shared" si="46"/>
        <v>25011280834.200001</v>
      </c>
      <c r="I13" s="302">
        <f t="shared" si="46"/>
        <v>3400920116.4000001</v>
      </c>
      <c r="J13" s="302">
        <f t="shared" si="46"/>
        <v>2439868926</v>
      </c>
      <c r="K13" s="302">
        <f t="shared" si="46"/>
        <v>614870137.80000007</v>
      </c>
      <c r="L13" s="302">
        <f t="shared" si="46"/>
        <v>13144586517</v>
      </c>
      <c r="M13" s="302">
        <f t="shared" si="46"/>
        <v>6435829518.6000004</v>
      </c>
      <c r="N13" s="302">
        <f t="shared" si="46"/>
        <v>935952038.4000001</v>
      </c>
      <c r="O13" s="302">
        <f t="shared" si="46"/>
        <v>1017922906.2</v>
      </c>
      <c r="P13" s="302">
        <f t="shared" si="46"/>
        <v>8577645182.4000006</v>
      </c>
      <c r="Q13" s="302">
        <f t="shared" si="46"/>
        <v>4322262051.6000004</v>
      </c>
      <c r="R13" s="302">
        <f t="shared" si="46"/>
        <v>2050093076.4000001</v>
      </c>
      <c r="S13" s="302">
        <f t="shared" si="46"/>
        <v>1885943290.8000002</v>
      </c>
      <c r="T13" s="302">
        <f t="shared" si="46"/>
        <v>2925765540</v>
      </c>
      <c r="U13" s="302">
        <f t="shared" si="46"/>
        <v>3030333134.4000001</v>
      </c>
      <c r="V13" s="302">
        <f t="shared" si="46"/>
        <v>922037654.4000001</v>
      </c>
      <c r="W13" s="302">
        <f t="shared" si="46"/>
        <v>3935589475.8000002</v>
      </c>
      <c r="X13" s="302">
        <f t="shared" si="46"/>
        <v>4543573158.6000004</v>
      </c>
      <c r="Y13" s="302">
        <f t="shared" si="46"/>
        <v>6662836202.4000006</v>
      </c>
      <c r="Z13" s="302">
        <f t="shared" si="46"/>
        <v>3566816689.8000002</v>
      </c>
      <c r="AA13" s="302">
        <f t="shared" si="46"/>
        <v>1954807840.8000002</v>
      </c>
      <c r="AB13" s="302">
        <f t="shared" si="46"/>
        <v>4027679063.4000001</v>
      </c>
      <c r="AC13" s="302">
        <f t="shared" si="46"/>
        <v>677651305.80000007</v>
      </c>
      <c r="AD13" s="302">
        <f t="shared" si="46"/>
        <v>1212003597</v>
      </c>
      <c r="AE13" s="302">
        <f t="shared" si="46"/>
        <v>1805244024.6000001</v>
      </c>
      <c r="AF13" s="302">
        <f t="shared" si="46"/>
        <v>907559871</v>
      </c>
      <c r="AG13" s="302">
        <f t="shared" si="46"/>
        <v>5955249830.4000006</v>
      </c>
      <c r="AH13" s="302">
        <f t="shared" si="46"/>
        <v>1368606160.8000002</v>
      </c>
      <c r="AI13" s="302">
        <f t="shared" si="46"/>
        <v>13310156868</v>
      </c>
      <c r="AJ13" s="302">
        <f t="shared" si="46"/>
        <v>6436887244.8000011</v>
      </c>
      <c r="AK13" s="302">
        <f t="shared" si="46"/>
        <v>464364271.20000005</v>
      </c>
      <c r="AL13" s="302">
        <f t="shared" si="46"/>
        <v>7758089629.2000008</v>
      </c>
      <c r="AM13" s="302">
        <f t="shared" si="46"/>
        <v>2496416916</v>
      </c>
      <c r="AN13" s="302">
        <f t="shared" si="46"/>
        <v>2622550973.4000006</v>
      </c>
      <c r="AO13" s="302">
        <f t="shared" si="46"/>
        <v>8729163004.2000008</v>
      </c>
      <c r="AP13" s="302">
        <f t="shared" si="46"/>
        <v>725684225.4000001</v>
      </c>
      <c r="AQ13" s="302">
        <f t="shared" si="46"/>
        <v>3137615365.2000003</v>
      </c>
      <c r="AR13" s="302">
        <f t="shared" si="46"/>
        <v>545000290.20000005</v>
      </c>
      <c r="AS13" s="302">
        <f t="shared" si="46"/>
        <v>4298104117.8000002</v>
      </c>
      <c r="AT13" s="302">
        <f t="shared" si="46"/>
        <v>16473910803</v>
      </c>
      <c r="AU13" s="302">
        <f t="shared" si="46"/>
        <v>1716276019.2</v>
      </c>
      <c r="AV13" s="302">
        <f t="shared" si="46"/>
        <v>436696950</v>
      </c>
      <c r="AW13" s="302">
        <f t="shared" si="46"/>
        <v>5463025167.6000004</v>
      </c>
      <c r="AX13" s="302">
        <f t="shared" si="46"/>
        <v>4585398698.4000006</v>
      </c>
      <c r="AY13" s="302">
        <f t="shared" si="46"/>
        <v>1277927984.4000001</v>
      </c>
      <c r="AZ13" s="302">
        <f t="shared" si="46"/>
        <v>3841961982.6000004</v>
      </c>
      <c r="BA13" s="302">
        <f t="shared" si="46"/>
        <v>377634883.80000001</v>
      </c>
    </row>
    <row r="14" spans="1:55" x14ac:dyDescent="0.2">
      <c r="A14">
        <v>11</v>
      </c>
      <c r="B14" s="32" t="s">
        <v>1036</v>
      </c>
      <c r="C14" s="450">
        <f>AVERAGE(D14:BA14)</f>
        <v>20.718173076923076</v>
      </c>
      <c r="D14" s="419">
        <f t="shared" ref="D14:AH14" si="47">AverageWageRate</f>
        <v>18.83653846153846</v>
      </c>
      <c r="E14" s="419">
        <f t="shared" si="47"/>
        <v>24.802884615384617</v>
      </c>
      <c r="F14" s="419">
        <f t="shared" si="47"/>
        <v>20.995192307692307</v>
      </c>
      <c r="G14" s="419">
        <f t="shared" si="47"/>
        <v>17.471153846153847</v>
      </c>
      <c r="H14" s="419">
        <f t="shared" si="47"/>
        <v>24.956730769230766</v>
      </c>
      <c r="I14" s="419">
        <f t="shared" si="47"/>
        <v>22.841346153846153</v>
      </c>
      <c r="J14" s="419">
        <f t="shared" si="47"/>
        <v>25.39903846153846</v>
      </c>
      <c r="K14" s="419">
        <f t="shared" si="47"/>
        <v>22.798076923076923</v>
      </c>
      <c r="L14" s="419">
        <f t="shared" si="47"/>
        <v>19.591346153846153</v>
      </c>
      <c r="M14" s="419">
        <f t="shared" si="47"/>
        <v>20.47596153846154</v>
      </c>
      <c r="N14" s="419">
        <f t="shared" si="47"/>
        <v>21.442307692307693</v>
      </c>
      <c r="O14" s="419">
        <f t="shared" si="47"/>
        <v>18.519230769230766</v>
      </c>
      <c r="P14" s="419">
        <f t="shared" si="47"/>
        <v>22.379807692307693</v>
      </c>
      <c r="Q14" s="419">
        <f t="shared" si="47"/>
        <v>19.08653846153846</v>
      </c>
      <c r="R14" s="419">
        <f t="shared" si="47"/>
        <v>18.66346153846154</v>
      </c>
      <c r="S14" s="419">
        <f t="shared" si="47"/>
        <v>19.245192307692307</v>
      </c>
      <c r="T14" s="419">
        <f t="shared" si="47"/>
        <v>18.576923076923077</v>
      </c>
      <c r="U14" s="419">
        <f t="shared" si="47"/>
        <v>18.644230769230766</v>
      </c>
      <c r="V14" s="419">
        <f t="shared" si="47"/>
        <v>19.322115384615383</v>
      </c>
      <c r="W14" s="419">
        <f t="shared" si="47"/>
        <v>24.932692307692307</v>
      </c>
      <c r="X14" s="419">
        <f t="shared" si="47"/>
        <v>26.31730769230769</v>
      </c>
      <c r="Y14" s="419">
        <f t="shared" si="47"/>
        <v>21.009615384615383</v>
      </c>
      <c r="Z14" s="419">
        <f t="shared" si="47"/>
        <v>22.1875</v>
      </c>
      <c r="AA14" s="419">
        <f t="shared" si="47"/>
        <v>16.716346153846153</v>
      </c>
      <c r="AB14" s="419">
        <f t="shared" si="47"/>
        <v>19.471153846153847</v>
      </c>
      <c r="AC14" s="419">
        <f t="shared" si="47"/>
        <v>17.71153846153846</v>
      </c>
      <c r="AD14" s="419">
        <f t="shared" si="47"/>
        <v>18.817307692307693</v>
      </c>
      <c r="AE14" s="419">
        <f t="shared" si="47"/>
        <v>20.125</v>
      </c>
      <c r="AF14" s="419">
        <f t="shared" si="47"/>
        <v>21.740384615384617</v>
      </c>
      <c r="AG14" s="419">
        <f t="shared" si="47"/>
        <v>24.778846153846153</v>
      </c>
      <c r="AH14" s="419">
        <f t="shared" si="47"/>
        <v>19.610576923076923</v>
      </c>
      <c r="AI14" s="419">
        <f t="shared" ref="AI14:BA14" si="48">AverageWageRate</f>
        <v>25.389423076923077</v>
      </c>
      <c r="AJ14" s="419">
        <f t="shared" si="48"/>
        <v>19.831730769230766</v>
      </c>
      <c r="AK14" s="419">
        <f t="shared" si="48"/>
        <v>18.6875</v>
      </c>
      <c r="AL14" s="419">
        <f t="shared" si="48"/>
        <v>19.995192307692307</v>
      </c>
      <c r="AM14" s="419">
        <f t="shared" si="48"/>
        <v>18.360576923076923</v>
      </c>
      <c r="AN14" s="419">
        <f t="shared" si="48"/>
        <v>21.293269230769234</v>
      </c>
      <c r="AO14" s="419">
        <f t="shared" si="48"/>
        <v>21.1875</v>
      </c>
      <c r="AP14" s="419">
        <f t="shared" si="48"/>
        <v>22.783653846153847</v>
      </c>
      <c r="AQ14" s="419">
        <f t="shared" si="48"/>
        <v>18.53846153846154</v>
      </c>
      <c r="AR14" s="419">
        <f t="shared" si="48"/>
        <v>17.014423076923077</v>
      </c>
      <c r="AS14" s="419">
        <f t="shared" si="48"/>
        <v>18.8125</v>
      </c>
      <c r="AT14" s="419">
        <f t="shared" si="48"/>
        <v>20.716346153846153</v>
      </c>
      <c r="AU14" s="419">
        <f t="shared" si="48"/>
        <v>19.6875</v>
      </c>
      <c r="AV14" s="419">
        <f t="shared" si="48"/>
        <v>20.71153846153846</v>
      </c>
      <c r="AW14" s="419">
        <f t="shared" si="48"/>
        <v>23.495192307692307</v>
      </c>
      <c r="AX14" s="419">
        <f t="shared" si="48"/>
        <v>24.173076923076923</v>
      </c>
      <c r="AY14" s="419">
        <f t="shared" si="48"/>
        <v>17.41346153846154</v>
      </c>
      <c r="AZ14" s="419">
        <f t="shared" si="48"/>
        <v>19.91346153846154</v>
      </c>
      <c r="BA14" s="419">
        <f t="shared" si="48"/>
        <v>20.4375</v>
      </c>
    </row>
    <row r="15" spans="1:55" x14ac:dyDescent="0.2">
      <c r="A15">
        <v>12</v>
      </c>
      <c r="B15" s="419" t="s">
        <v>1035</v>
      </c>
      <c r="C15" s="450">
        <f>AVERAGE(D15:BA15)</f>
        <v>10.052999999999995</v>
      </c>
      <c r="D15" s="324">
        <v>8.8800000000000008</v>
      </c>
      <c r="E15" s="324">
        <v>11.29</v>
      </c>
      <c r="F15" s="324">
        <v>9.44</v>
      </c>
      <c r="G15" s="324">
        <v>8.5399999999999991</v>
      </c>
      <c r="H15" s="324">
        <v>11.22</v>
      </c>
      <c r="I15" s="324">
        <v>10.28</v>
      </c>
      <c r="J15" s="324">
        <v>11.56</v>
      </c>
      <c r="K15" s="324">
        <v>9.5399999999999991</v>
      </c>
      <c r="L15" s="324">
        <v>9.34</v>
      </c>
      <c r="M15" s="324">
        <v>9</v>
      </c>
      <c r="N15" s="324">
        <v>14.66</v>
      </c>
      <c r="O15" s="324">
        <v>9.2100000000000009</v>
      </c>
      <c r="P15" s="324">
        <v>10.67</v>
      </c>
      <c r="Q15" s="324">
        <v>9.14</v>
      </c>
      <c r="R15" s="324">
        <v>9.69</v>
      </c>
      <c r="S15" s="324">
        <v>8.86</v>
      </c>
      <c r="T15" s="324">
        <v>9.06</v>
      </c>
      <c r="U15" s="324">
        <v>8.8800000000000008</v>
      </c>
      <c r="V15" s="324">
        <v>10.06</v>
      </c>
      <c r="W15" s="324">
        <v>10.32</v>
      </c>
      <c r="X15" s="324">
        <v>12.9</v>
      </c>
      <c r="Y15" s="324">
        <v>10.64</v>
      </c>
      <c r="Z15" s="324">
        <v>10.67</v>
      </c>
      <c r="AA15" s="324">
        <v>8.65</v>
      </c>
      <c r="AB15" s="324">
        <v>9.24</v>
      </c>
      <c r="AC15" s="324">
        <v>9.24</v>
      </c>
      <c r="AD15" s="324">
        <v>9.1999999999999993</v>
      </c>
      <c r="AE15" s="324">
        <v>13.02</v>
      </c>
      <c r="AF15" s="324">
        <v>10.49</v>
      </c>
      <c r="AG15" s="324">
        <v>10.87</v>
      </c>
      <c r="AH15" s="324">
        <v>9.2200000000000006</v>
      </c>
      <c r="AI15" s="324">
        <v>14.16</v>
      </c>
      <c r="AJ15" s="324">
        <v>9.1999999999999993</v>
      </c>
      <c r="AK15" s="324">
        <v>9.4</v>
      </c>
      <c r="AL15" s="324">
        <v>9.89</v>
      </c>
      <c r="AM15" s="324">
        <v>8.85</v>
      </c>
      <c r="AN15" s="324">
        <v>10.39</v>
      </c>
      <c r="AO15" s="324">
        <v>10.26</v>
      </c>
      <c r="AP15" s="324">
        <v>11.52</v>
      </c>
      <c r="AQ15" s="324">
        <v>9.15</v>
      </c>
      <c r="AR15" s="324">
        <v>9.14</v>
      </c>
      <c r="AS15" s="324">
        <v>8.89</v>
      </c>
      <c r="AT15" s="324">
        <v>8.84</v>
      </c>
      <c r="AU15" s="324">
        <v>9.27</v>
      </c>
      <c r="AV15" s="324">
        <v>10.83</v>
      </c>
      <c r="AW15" s="324">
        <v>9.49</v>
      </c>
      <c r="AX15" s="324">
        <v>11.14</v>
      </c>
      <c r="AY15" s="324">
        <v>9.34</v>
      </c>
      <c r="AZ15" s="324">
        <v>9.7100000000000009</v>
      </c>
      <c r="BA15" s="324">
        <v>9.4</v>
      </c>
    </row>
    <row r="16" spans="1:55" ht="17" thickBot="1" x14ac:dyDescent="0.25">
      <c r="A16">
        <v>13</v>
      </c>
      <c r="B16" s="32" t="s">
        <v>999</v>
      </c>
      <c r="C16" s="451">
        <f>AVERAGE(D16:BA16)</f>
        <v>11.6846</v>
      </c>
      <c r="D16" s="324">
        <v>9.94</v>
      </c>
      <c r="E16" s="324">
        <v>14.82</v>
      </c>
      <c r="F16" s="324">
        <v>11.41</v>
      </c>
      <c r="G16" s="324">
        <v>9.76</v>
      </c>
      <c r="H16" s="324">
        <v>12.89</v>
      </c>
      <c r="I16" s="324">
        <v>11.65</v>
      </c>
      <c r="J16" s="324">
        <v>14</v>
      </c>
      <c r="K16" s="324">
        <v>12.55</v>
      </c>
      <c r="L16" s="324">
        <v>10.27</v>
      </c>
      <c r="M16" s="324">
        <v>10.67</v>
      </c>
      <c r="N16" s="324">
        <v>12.5</v>
      </c>
      <c r="O16" s="324">
        <v>10.86</v>
      </c>
      <c r="P16" s="324">
        <v>12.47</v>
      </c>
      <c r="Q16" s="324">
        <v>11.25</v>
      </c>
      <c r="R16" s="324">
        <v>11.46</v>
      </c>
      <c r="S16" s="324">
        <v>10.84</v>
      </c>
      <c r="T16" s="324">
        <v>10.68</v>
      </c>
      <c r="U16" s="324">
        <v>10.01</v>
      </c>
      <c r="V16" s="324">
        <v>12.52</v>
      </c>
      <c r="W16" s="324">
        <v>12.15</v>
      </c>
      <c r="X16" s="324">
        <v>14.67</v>
      </c>
      <c r="Y16" s="324">
        <v>11.81</v>
      </c>
      <c r="Z16" s="324">
        <v>12.3</v>
      </c>
      <c r="AA16" s="324">
        <v>9.56</v>
      </c>
      <c r="AB16" s="324">
        <v>11.39</v>
      </c>
      <c r="AC16" s="324">
        <v>11.37</v>
      </c>
      <c r="AD16" s="324">
        <v>10.9</v>
      </c>
      <c r="AE16" s="324">
        <v>13.04</v>
      </c>
      <c r="AF16" s="324">
        <v>12.81</v>
      </c>
      <c r="AG16" s="324">
        <v>13.25</v>
      </c>
      <c r="AH16" s="324">
        <v>10.44</v>
      </c>
      <c r="AI16" s="324">
        <v>14.35</v>
      </c>
      <c r="AJ16" s="324">
        <v>10.37</v>
      </c>
      <c r="AK16" s="324">
        <v>11.73</v>
      </c>
      <c r="AL16" s="324">
        <v>11.93</v>
      </c>
      <c r="AM16" s="324">
        <v>9.93</v>
      </c>
      <c r="AN16" s="324">
        <v>12.23</v>
      </c>
      <c r="AO16" s="324">
        <v>12.54</v>
      </c>
      <c r="AP16" s="324">
        <v>13.03</v>
      </c>
      <c r="AQ16" s="324">
        <v>10.210000000000001</v>
      </c>
      <c r="AR16" s="324">
        <v>10.73</v>
      </c>
      <c r="AS16" s="324">
        <v>10.42</v>
      </c>
      <c r="AT16" s="324">
        <v>10.18</v>
      </c>
      <c r="AU16" s="324">
        <v>10.32</v>
      </c>
      <c r="AV16" s="324">
        <v>12.37</v>
      </c>
      <c r="AW16" s="324">
        <v>10.68</v>
      </c>
      <c r="AX16" s="324">
        <v>13.67</v>
      </c>
      <c r="AY16" s="324">
        <v>10.54</v>
      </c>
      <c r="AZ16" s="324">
        <v>12.23</v>
      </c>
      <c r="BA16" s="324">
        <v>12.53</v>
      </c>
    </row>
    <row r="17" spans="1:53" x14ac:dyDescent="0.2">
      <c r="A17">
        <v>14</v>
      </c>
      <c r="B17" s="129" t="s">
        <v>998</v>
      </c>
      <c r="C17" s="128"/>
      <c r="D17" s="419">
        <f t="shared" ref="D17:AH17" si="49">IF(HouseworkWageCase="Maid",D15,IF(HouseworkWageCase="Janitor",D16,IF(HouseworkWageCase="Average",D14,"Case ERR")))</f>
        <v>8.8800000000000008</v>
      </c>
      <c r="E17" s="419">
        <f t="shared" si="49"/>
        <v>11.29</v>
      </c>
      <c r="F17" s="419">
        <f t="shared" si="49"/>
        <v>9.44</v>
      </c>
      <c r="G17" s="419">
        <f t="shared" si="49"/>
        <v>8.5399999999999991</v>
      </c>
      <c r="H17" s="419">
        <f t="shared" si="49"/>
        <v>11.22</v>
      </c>
      <c r="I17" s="419">
        <f t="shared" si="49"/>
        <v>10.28</v>
      </c>
      <c r="J17" s="419">
        <f t="shared" si="49"/>
        <v>11.56</v>
      </c>
      <c r="K17" s="419">
        <f t="shared" si="49"/>
        <v>9.5399999999999991</v>
      </c>
      <c r="L17" s="419">
        <f t="shared" si="49"/>
        <v>9.34</v>
      </c>
      <c r="M17" s="419">
        <f t="shared" si="49"/>
        <v>9</v>
      </c>
      <c r="N17" s="419">
        <f t="shared" si="49"/>
        <v>14.66</v>
      </c>
      <c r="O17" s="419">
        <f t="shared" si="49"/>
        <v>9.2100000000000009</v>
      </c>
      <c r="P17" s="419">
        <f t="shared" si="49"/>
        <v>10.67</v>
      </c>
      <c r="Q17" s="419">
        <f t="shared" si="49"/>
        <v>9.14</v>
      </c>
      <c r="R17" s="419">
        <f t="shared" si="49"/>
        <v>9.69</v>
      </c>
      <c r="S17" s="419">
        <f t="shared" si="49"/>
        <v>8.86</v>
      </c>
      <c r="T17" s="419">
        <f t="shared" si="49"/>
        <v>9.06</v>
      </c>
      <c r="U17" s="419">
        <f t="shared" si="49"/>
        <v>8.8800000000000008</v>
      </c>
      <c r="V17" s="419">
        <f t="shared" si="49"/>
        <v>10.06</v>
      </c>
      <c r="W17" s="419">
        <f t="shared" si="49"/>
        <v>10.32</v>
      </c>
      <c r="X17" s="419">
        <f t="shared" si="49"/>
        <v>12.9</v>
      </c>
      <c r="Y17" s="419">
        <f t="shared" si="49"/>
        <v>10.64</v>
      </c>
      <c r="Z17" s="419">
        <f t="shared" si="49"/>
        <v>10.67</v>
      </c>
      <c r="AA17" s="419">
        <f t="shared" si="49"/>
        <v>8.65</v>
      </c>
      <c r="AB17" s="419">
        <f t="shared" si="49"/>
        <v>9.24</v>
      </c>
      <c r="AC17" s="419">
        <f t="shared" si="49"/>
        <v>9.24</v>
      </c>
      <c r="AD17" s="419">
        <f t="shared" si="49"/>
        <v>9.1999999999999993</v>
      </c>
      <c r="AE17" s="419">
        <f t="shared" si="49"/>
        <v>13.02</v>
      </c>
      <c r="AF17" s="419">
        <f t="shared" si="49"/>
        <v>10.49</v>
      </c>
      <c r="AG17" s="419">
        <f t="shared" si="49"/>
        <v>10.87</v>
      </c>
      <c r="AH17" s="419">
        <f t="shared" si="49"/>
        <v>9.2200000000000006</v>
      </c>
      <c r="AI17" s="419">
        <f t="shared" ref="AI17:BA17" si="50">IF(HouseworkWageCase="Maid",AI15,IF(HouseworkWageCase="Janitor",AI16,IF(HouseworkWageCase="Average",AI14,"Case ERR")))</f>
        <v>14.16</v>
      </c>
      <c r="AJ17" s="419">
        <f t="shared" si="50"/>
        <v>9.1999999999999993</v>
      </c>
      <c r="AK17" s="419">
        <f t="shared" si="50"/>
        <v>9.4</v>
      </c>
      <c r="AL17" s="419">
        <f t="shared" si="50"/>
        <v>9.89</v>
      </c>
      <c r="AM17" s="419">
        <f t="shared" si="50"/>
        <v>8.85</v>
      </c>
      <c r="AN17" s="419">
        <f t="shared" si="50"/>
        <v>10.39</v>
      </c>
      <c r="AO17" s="419">
        <f t="shared" si="50"/>
        <v>10.26</v>
      </c>
      <c r="AP17" s="419">
        <f t="shared" si="50"/>
        <v>11.52</v>
      </c>
      <c r="AQ17" s="419">
        <f t="shared" si="50"/>
        <v>9.15</v>
      </c>
      <c r="AR17" s="419">
        <f t="shared" si="50"/>
        <v>9.14</v>
      </c>
      <c r="AS17" s="419">
        <f t="shared" si="50"/>
        <v>8.89</v>
      </c>
      <c r="AT17" s="419">
        <f t="shared" si="50"/>
        <v>8.84</v>
      </c>
      <c r="AU17" s="419">
        <f t="shared" si="50"/>
        <v>9.27</v>
      </c>
      <c r="AV17" s="419">
        <f t="shared" si="50"/>
        <v>10.83</v>
      </c>
      <c r="AW17" s="419">
        <f t="shared" si="50"/>
        <v>9.49</v>
      </c>
      <c r="AX17" s="419">
        <f t="shared" si="50"/>
        <v>11.14</v>
      </c>
      <c r="AY17" s="419">
        <f t="shared" si="50"/>
        <v>9.34</v>
      </c>
      <c r="AZ17" s="419">
        <f t="shared" si="50"/>
        <v>9.7100000000000009</v>
      </c>
      <c r="BA17" s="419">
        <f t="shared" si="50"/>
        <v>9.4</v>
      </c>
    </row>
    <row r="18" spans="1:53" x14ac:dyDescent="0.2">
      <c r="B18"/>
      <c r="C18" s="90"/>
    </row>
    <row r="19" spans="1:53" x14ac:dyDescent="0.2">
      <c r="B19" s="447" t="s">
        <v>987</v>
      </c>
      <c r="C19" s="448" t="s">
        <v>1037</v>
      </c>
      <c r="D19" s="60"/>
    </row>
    <row r="20" spans="1:53" x14ac:dyDescent="0.2">
      <c r="B20" s="90"/>
      <c r="C20" s="90"/>
      <c r="D20" s="60"/>
    </row>
    <row r="21" spans="1:53" x14ac:dyDescent="0.2">
      <c r="B21" s="90"/>
      <c r="C21" s="90"/>
      <c r="D21" s="60"/>
    </row>
    <row r="22" spans="1:53" x14ac:dyDescent="0.2">
      <c r="B22" s="90"/>
      <c r="C22" s="90"/>
      <c r="D22" s="60"/>
    </row>
    <row r="23" spans="1:53" x14ac:dyDescent="0.2">
      <c r="B23" s="59" t="s">
        <v>579</v>
      </c>
      <c r="C23" s="74"/>
    </row>
    <row r="24" spans="1:53" ht="29" x14ac:dyDescent="0.2">
      <c r="A24">
        <v>1</v>
      </c>
      <c r="B24" s="90" t="s">
        <v>733</v>
      </c>
      <c r="C24" s="90"/>
    </row>
    <row r="25" spans="1:53" x14ac:dyDescent="0.2">
      <c r="A25">
        <v>2</v>
      </c>
      <c r="B25" s="85" t="s">
        <v>671</v>
      </c>
    </row>
    <row r="26" spans="1:53" x14ac:dyDescent="0.2">
      <c r="A26">
        <v>3</v>
      </c>
      <c r="B26" s="73" t="s">
        <v>672</v>
      </c>
      <c r="C26" s="130"/>
    </row>
    <row r="27" spans="1:53" x14ac:dyDescent="0.2">
      <c r="A27">
        <v>4</v>
      </c>
      <c r="B27" s="132" t="s">
        <v>734</v>
      </c>
      <c r="C27" s="74"/>
    </row>
    <row r="28" spans="1:53" x14ac:dyDescent="0.2">
      <c r="A28">
        <v>5</v>
      </c>
      <c r="B28" s="85" t="s">
        <v>674</v>
      </c>
    </row>
    <row r="29" spans="1:53" x14ac:dyDescent="0.2">
      <c r="A29">
        <v>6</v>
      </c>
      <c r="B29" s="85" t="s">
        <v>675</v>
      </c>
      <c r="C29" s="74"/>
    </row>
    <row r="30" spans="1:53" x14ac:dyDescent="0.2">
      <c r="A30">
        <v>7</v>
      </c>
      <c r="B30" s="85" t="s">
        <v>676</v>
      </c>
      <c r="C30" s="74"/>
    </row>
    <row r="31" spans="1:53" x14ac:dyDescent="0.2">
      <c r="A31">
        <v>8</v>
      </c>
      <c r="B31" s="85" t="s">
        <v>677</v>
      </c>
      <c r="C31" s="74"/>
    </row>
    <row r="32" spans="1:53" x14ac:dyDescent="0.2">
      <c r="A32">
        <v>9</v>
      </c>
      <c r="B32" s="74" t="s">
        <v>678</v>
      </c>
      <c r="C32" s="74"/>
    </row>
    <row r="33" spans="1:4" x14ac:dyDescent="0.2">
      <c r="A33" s="72">
        <v>10</v>
      </c>
      <c r="B33" s="74" t="s">
        <v>679</v>
      </c>
    </row>
    <row r="34" spans="1:4" x14ac:dyDescent="0.2">
      <c r="A34" s="72">
        <v>11</v>
      </c>
      <c r="B34" s="74" t="s">
        <v>811</v>
      </c>
      <c r="C34" s="74"/>
    </row>
    <row r="35" spans="1:4" x14ac:dyDescent="0.2">
      <c r="A35" s="72">
        <v>12</v>
      </c>
      <c r="B35" s="97" t="s">
        <v>114</v>
      </c>
      <c r="C35" s="74"/>
    </row>
    <row r="36" spans="1:4" ht="17" x14ac:dyDescent="0.2">
      <c r="A36" s="72">
        <v>13</v>
      </c>
      <c r="B36" s="476"/>
      <c r="C36" s="131"/>
    </row>
    <row r="37" spans="1:4" x14ac:dyDescent="0.2">
      <c r="A37" s="72"/>
      <c r="B37" s="74"/>
      <c r="C37" s="74"/>
    </row>
    <row r="38" spans="1:4" x14ac:dyDescent="0.2">
      <c r="A38" s="72"/>
      <c r="B38" s="74"/>
      <c r="C38" s="74"/>
    </row>
    <row r="39" spans="1:4" x14ac:dyDescent="0.2">
      <c r="A39" s="72"/>
      <c r="B39" s="74"/>
      <c r="C39" s="74"/>
    </row>
    <row r="40" spans="1:4" x14ac:dyDescent="0.2">
      <c r="A40" s="72"/>
      <c r="B40" s="74"/>
      <c r="C40" s="74"/>
    </row>
    <row r="41" spans="1:4" x14ac:dyDescent="0.2">
      <c r="A41" s="72"/>
      <c r="C41" s="74"/>
    </row>
    <row r="42" spans="1:4" x14ac:dyDescent="0.2">
      <c r="A42" s="72"/>
      <c r="B42" s="74"/>
      <c r="C42" s="74"/>
    </row>
    <row r="43" spans="1:4" x14ac:dyDescent="0.2">
      <c r="B43" s="74"/>
    </row>
    <row r="44" spans="1:4" x14ac:dyDescent="0.2">
      <c r="B44" s="131"/>
    </row>
    <row r="45" spans="1:4" x14ac:dyDescent="0.2">
      <c r="B45" s="74"/>
      <c r="C45" s="72"/>
      <c r="D45" s="74"/>
    </row>
    <row r="46" spans="1:4" x14ac:dyDescent="0.2">
      <c r="B46" s="74"/>
      <c r="C46" s="72"/>
      <c r="D46" s="74"/>
    </row>
    <row r="47" spans="1:4" x14ac:dyDescent="0.2">
      <c r="B47" s="74"/>
      <c r="C47" s="72"/>
      <c r="D47" s="74"/>
    </row>
    <row r="48" spans="1:4" x14ac:dyDescent="0.2">
      <c r="B48" s="74"/>
      <c r="C48" s="72"/>
      <c r="D48" s="74"/>
    </row>
    <row r="49" spans="2:2" x14ac:dyDescent="0.2">
      <c r="B49" s="74"/>
    </row>
    <row r="52" spans="2:2" x14ac:dyDescent="0.2">
      <c r="B52" s="72"/>
    </row>
    <row r="53" spans="2:2" x14ac:dyDescent="0.2">
      <c r="B53" s="72"/>
    </row>
    <row r="54" spans="2:2" x14ac:dyDescent="0.2">
      <c r="B54" s="72"/>
    </row>
    <row r="55" spans="2:2" x14ac:dyDescent="0.2">
      <c r="B55" s="72"/>
    </row>
  </sheetData>
  <phoneticPr fontId="103" type="noConversion"/>
  <dataValidations count="1">
    <dataValidation type="list" allowBlank="1" showInputMessage="1" showErrorMessage="1" sqref="C19">
      <formula1>"Maid,Janitor, Average"</formula1>
    </dataValidation>
  </dataValidations>
  <hyperlinks>
    <hyperlink ref="B25" r:id="rId1"/>
    <hyperlink ref="B35" r:id="rId2"/>
  </hyperlinks>
  <pageMargins left="0.75" right="0.75" top="1" bottom="1" header="0.3" footer="0.3"/>
  <pageSetup orientation="portrait" horizontalDpi="4294967292" verticalDpi="4294967292"/>
  <ignoredErrors>
    <ignoredError sqref="D9"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4"/>
  <sheetViews>
    <sheetView topLeftCell="A2" workbookViewId="0">
      <selection activeCell="A2" sqref="A2"/>
    </sheetView>
  </sheetViews>
  <sheetFormatPr baseColWidth="10" defaultColWidth="11" defaultRowHeight="16" x14ac:dyDescent="0.2"/>
  <cols>
    <col min="1" max="1" width="7" customWidth="1"/>
    <col min="2" max="2" width="35.33203125" customWidth="1"/>
    <col min="4" max="4" width="15" bestFit="1" customWidth="1"/>
    <col min="5" max="5" width="14.1640625" customWidth="1"/>
    <col min="6" max="6" width="16" bestFit="1" customWidth="1"/>
    <col min="7" max="7" width="17.5" bestFit="1" customWidth="1"/>
    <col min="8" max="8" width="16" bestFit="1" customWidth="1"/>
    <col min="9" max="10" width="17.5" bestFit="1" customWidth="1"/>
    <col min="11" max="12" width="16" bestFit="1" customWidth="1"/>
    <col min="13" max="14" width="17.5" bestFit="1" customWidth="1"/>
    <col min="15" max="16" width="16" bestFit="1" customWidth="1"/>
    <col min="17" max="18" width="17.5" bestFit="1" customWidth="1"/>
    <col min="19" max="21" width="16" bestFit="1" customWidth="1"/>
    <col min="22" max="22" width="17.5" bestFit="1" customWidth="1"/>
    <col min="23" max="23" width="16" bestFit="1" customWidth="1"/>
    <col min="24" max="27" width="17.5" bestFit="1" customWidth="1"/>
    <col min="28" max="28" width="16" bestFit="1" customWidth="1"/>
    <col min="29" max="29" width="17.5" bestFit="1" customWidth="1"/>
    <col min="30" max="33" width="16" bestFit="1" customWidth="1"/>
    <col min="34" max="34" width="17.5" bestFit="1" customWidth="1"/>
    <col min="35" max="35" width="16" bestFit="1" customWidth="1"/>
    <col min="36" max="37" width="17.5" bestFit="1" customWidth="1"/>
    <col min="38" max="38" width="16" bestFit="1" customWidth="1"/>
    <col min="39" max="39" width="17.5" bestFit="1" customWidth="1"/>
    <col min="40" max="41" width="16" bestFit="1" customWidth="1"/>
    <col min="42" max="42" width="17.5" bestFit="1" customWidth="1"/>
    <col min="43" max="45" width="16" bestFit="1" customWidth="1"/>
    <col min="46" max="47" width="17.5" bestFit="1" customWidth="1"/>
    <col min="48" max="48" width="16" bestFit="1" customWidth="1"/>
    <col min="49" max="49" width="16" style="125" bestFit="1" customWidth="1"/>
    <col min="50" max="51" width="17.5" bestFit="1" customWidth="1"/>
    <col min="52" max="52" width="16" bestFit="1" customWidth="1"/>
    <col min="53" max="53" width="17.5" bestFit="1" customWidth="1"/>
    <col min="54" max="54" width="16" bestFit="1" customWidth="1"/>
    <col min="63" max="63" width="18.1640625" customWidth="1"/>
    <col min="64" max="64" width="14.33203125" bestFit="1" customWidth="1"/>
    <col min="65" max="65" width="19.1640625" bestFit="1" customWidth="1"/>
  </cols>
  <sheetData>
    <row r="1" spans="1:55" x14ac:dyDescent="0.2">
      <c r="A1" s="86"/>
      <c r="B1" s="86">
        <v>2011</v>
      </c>
      <c r="C1" s="86"/>
      <c r="D1" s="87"/>
      <c r="E1" s="86">
        <v>1</v>
      </c>
      <c r="F1" s="86">
        <v>2</v>
      </c>
      <c r="G1" s="86">
        <v>3</v>
      </c>
      <c r="H1" s="86">
        <v>4</v>
      </c>
      <c r="I1" s="86">
        <v>5</v>
      </c>
      <c r="J1" s="86">
        <v>6</v>
      </c>
      <c r="K1" s="86">
        <v>7</v>
      </c>
      <c r="L1" s="86">
        <v>8</v>
      </c>
      <c r="M1" s="86">
        <v>10</v>
      </c>
      <c r="N1" s="86">
        <v>11</v>
      </c>
      <c r="O1" s="86">
        <v>12</v>
      </c>
      <c r="P1" s="86">
        <v>13</v>
      </c>
      <c r="Q1" s="86">
        <v>14</v>
      </c>
      <c r="R1" s="86">
        <v>15</v>
      </c>
      <c r="S1" s="86">
        <v>16</v>
      </c>
      <c r="T1" s="86">
        <v>17</v>
      </c>
      <c r="U1" s="86">
        <v>18</v>
      </c>
      <c r="V1" s="86">
        <v>19</v>
      </c>
      <c r="W1" s="86">
        <v>20</v>
      </c>
      <c r="X1" s="86">
        <v>21</v>
      </c>
      <c r="Y1" s="86">
        <v>22</v>
      </c>
      <c r="Z1" s="86">
        <v>23</v>
      </c>
      <c r="AA1" s="86">
        <v>24</v>
      </c>
      <c r="AB1" s="86">
        <v>25</v>
      </c>
      <c r="AC1" s="86">
        <v>26</v>
      </c>
      <c r="AD1" s="86">
        <v>27</v>
      </c>
      <c r="AE1" s="86">
        <v>28</v>
      </c>
      <c r="AF1" s="86">
        <v>29</v>
      </c>
      <c r="AG1" s="86">
        <v>30</v>
      </c>
      <c r="AH1" s="86">
        <v>31</v>
      </c>
      <c r="AI1" s="86">
        <v>32</v>
      </c>
      <c r="AJ1" s="86">
        <v>33</v>
      </c>
      <c r="AK1" s="86">
        <v>34</v>
      </c>
      <c r="AL1" s="86">
        <v>35</v>
      </c>
      <c r="AM1" s="86">
        <v>36</v>
      </c>
      <c r="AN1" s="86">
        <v>37</v>
      </c>
      <c r="AO1" s="86">
        <v>38</v>
      </c>
      <c r="AP1" s="86">
        <v>39</v>
      </c>
      <c r="AQ1" s="86">
        <v>40</v>
      </c>
      <c r="AR1" s="86">
        <v>41</v>
      </c>
      <c r="AS1" s="86">
        <v>42</v>
      </c>
      <c r="AT1" s="86">
        <v>43</v>
      </c>
      <c r="AU1" s="86">
        <v>44</v>
      </c>
      <c r="AV1" s="86">
        <v>45</v>
      </c>
      <c r="AW1" s="123">
        <v>46</v>
      </c>
      <c r="AX1" s="86">
        <v>47</v>
      </c>
      <c r="AY1" s="86">
        <v>48</v>
      </c>
      <c r="AZ1" s="86">
        <v>49</v>
      </c>
      <c r="BA1" s="86">
        <v>50</v>
      </c>
      <c r="BB1" s="86">
        <v>51</v>
      </c>
      <c r="BC1" s="88"/>
    </row>
    <row r="2" spans="1:55" x14ac:dyDescent="0.2">
      <c r="A2" s="86"/>
      <c r="B2" s="86"/>
      <c r="C2" s="86"/>
      <c r="D2" s="87" t="s">
        <v>95</v>
      </c>
      <c r="E2" s="89" t="s">
        <v>399</v>
      </c>
      <c r="F2" s="89" t="s">
        <v>400</v>
      </c>
      <c r="G2" s="89" t="s">
        <v>401</v>
      </c>
      <c r="H2" s="89" t="s">
        <v>402</v>
      </c>
      <c r="I2" s="89" t="s">
        <v>403</v>
      </c>
      <c r="J2" s="89" t="s">
        <v>404</v>
      </c>
      <c r="K2" s="89" t="s">
        <v>405</v>
      </c>
      <c r="L2" s="89" t="s">
        <v>406</v>
      </c>
      <c r="M2" s="89" t="s">
        <v>407</v>
      </c>
      <c r="N2" s="89" t="s">
        <v>408</v>
      </c>
      <c r="O2" s="89" t="s">
        <v>409</v>
      </c>
      <c r="P2" s="89" t="s">
        <v>410</v>
      </c>
      <c r="Q2" s="89" t="s">
        <v>411</v>
      </c>
      <c r="R2" s="89" t="s">
        <v>412</v>
      </c>
      <c r="S2" s="89" t="s">
        <v>413</v>
      </c>
      <c r="T2" s="89" t="s">
        <v>414</v>
      </c>
      <c r="U2" s="89" t="s">
        <v>415</v>
      </c>
      <c r="V2" s="89" t="s">
        <v>416</v>
      </c>
      <c r="W2" s="89" t="s">
        <v>417</v>
      </c>
      <c r="X2" s="89" t="s">
        <v>418</v>
      </c>
      <c r="Y2" s="89" t="s">
        <v>419</v>
      </c>
      <c r="Z2" s="89" t="s">
        <v>420</v>
      </c>
      <c r="AA2" s="89" t="s">
        <v>421</v>
      </c>
      <c r="AB2" s="89" t="s">
        <v>422</v>
      </c>
      <c r="AC2" s="89" t="s">
        <v>423</v>
      </c>
      <c r="AD2" s="89" t="s">
        <v>424</v>
      </c>
      <c r="AE2" s="89" t="s">
        <v>425</v>
      </c>
      <c r="AF2" s="89" t="s">
        <v>426</v>
      </c>
      <c r="AG2" s="89" t="s">
        <v>427</v>
      </c>
      <c r="AH2" s="89" t="s">
        <v>428</v>
      </c>
      <c r="AI2" s="89" t="s">
        <v>429</v>
      </c>
      <c r="AJ2" s="89" t="s">
        <v>430</v>
      </c>
      <c r="AK2" s="89" t="s">
        <v>431</v>
      </c>
      <c r="AL2" s="89" t="s">
        <v>432</v>
      </c>
      <c r="AM2" s="89" t="s">
        <v>433</v>
      </c>
      <c r="AN2" s="89" t="s">
        <v>434</v>
      </c>
      <c r="AO2" s="89" t="s">
        <v>435</v>
      </c>
      <c r="AP2" s="89" t="s">
        <v>436</v>
      </c>
      <c r="AQ2" s="89" t="s">
        <v>437</v>
      </c>
      <c r="AR2" s="89" t="s">
        <v>438</v>
      </c>
      <c r="AS2" s="89" t="s">
        <v>439</v>
      </c>
      <c r="AT2" s="89" t="s">
        <v>440</v>
      </c>
      <c r="AU2" s="89" t="s">
        <v>441</v>
      </c>
      <c r="AV2" s="89" t="s">
        <v>442</v>
      </c>
      <c r="AW2" s="124" t="s">
        <v>443</v>
      </c>
      <c r="AX2" s="89" t="s">
        <v>444</v>
      </c>
      <c r="AY2" s="89" t="s">
        <v>445</v>
      </c>
      <c r="AZ2" s="89" t="s">
        <v>446</v>
      </c>
      <c r="BA2" s="89" t="s">
        <v>447</v>
      </c>
      <c r="BB2" s="89" t="s">
        <v>448</v>
      </c>
      <c r="BC2" s="86"/>
    </row>
    <row r="3" spans="1:55" x14ac:dyDescent="0.2">
      <c r="A3" s="86"/>
      <c r="B3" s="86"/>
      <c r="C3" s="86"/>
      <c r="D3" s="87" t="s">
        <v>96</v>
      </c>
      <c r="E3" s="86" t="s">
        <v>39</v>
      </c>
      <c r="F3" s="86" t="s">
        <v>40</v>
      </c>
      <c r="G3" s="86" t="s">
        <v>41</v>
      </c>
      <c r="H3" s="86" t="s">
        <v>42</v>
      </c>
      <c r="I3" s="86" t="s">
        <v>43</v>
      </c>
      <c r="J3" s="86" t="s">
        <v>44</v>
      </c>
      <c r="K3" s="86" t="s">
        <v>45</v>
      </c>
      <c r="L3" s="86" t="s">
        <v>46</v>
      </c>
      <c r="M3" s="86" t="s">
        <v>47</v>
      </c>
      <c r="N3" s="86" t="s">
        <v>48</v>
      </c>
      <c r="O3" s="86" t="s">
        <v>49</v>
      </c>
      <c r="P3" s="86" t="s">
        <v>50</v>
      </c>
      <c r="Q3" s="86" t="s">
        <v>51</v>
      </c>
      <c r="R3" s="86" t="s">
        <v>52</v>
      </c>
      <c r="S3" s="86" t="s">
        <v>53</v>
      </c>
      <c r="T3" s="86" t="s">
        <v>54</v>
      </c>
      <c r="U3" s="86" t="s">
        <v>55</v>
      </c>
      <c r="V3" s="86" t="s">
        <v>56</v>
      </c>
      <c r="W3" s="86" t="s">
        <v>57</v>
      </c>
      <c r="X3" s="86" t="s">
        <v>58</v>
      </c>
      <c r="Y3" s="86" t="s">
        <v>59</v>
      </c>
      <c r="Z3" s="86" t="s">
        <v>60</v>
      </c>
      <c r="AA3" s="86" t="s">
        <v>61</v>
      </c>
      <c r="AB3" s="86" t="s">
        <v>62</v>
      </c>
      <c r="AC3" s="86" t="s">
        <v>63</v>
      </c>
      <c r="AD3" s="86" t="s">
        <v>64</v>
      </c>
      <c r="AE3" s="86" t="s">
        <v>65</v>
      </c>
      <c r="AF3" s="86" t="s">
        <v>66</v>
      </c>
      <c r="AG3" s="86" t="s">
        <v>67</v>
      </c>
      <c r="AH3" s="86" t="s">
        <v>68</v>
      </c>
      <c r="AI3" s="86" t="s">
        <v>69</v>
      </c>
      <c r="AJ3" s="86" t="s">
        <v>70</v>
      </c>
      <c r="AK3" s="86" t="s">
        <v>71</v>
      </c>
      <c r="AL3" s="86" t="s">
        <v>72</v>
      </c>
      <c r="AM3" s="86" t="s">
        <v>73</v>
      </c>
      <c r="AN3" s="86" t="s">
        <v>74</v>
      </c>
      <c r="AO3" s="86" t="s">
        <v>75</v>
      </c>
      <c r="AP3" s="86" t="s">
        <v>76</v>
      </c>
      <c r="AQ3" s="86" t="s">
        <v>77</v>
      </c>
      <c r="AR3" s="86" t="s">
        <v>78</v>
      </c>
      <c r="AS3" s="86" t="s">
        <v>79</v>
      </c>
      <c r="AT3" s="86" t="s">
        <v>80</v>
      </c>
      <c r="AU3" s="86" t="s">
        <v>81</v>
      </c>
      <c r="AV3" s="86" t="s">
        <v>82</v>
      </c>
      <c r="AW3" s="123" t="s">
        <v>83</v>
      </c>
      <c r="AX3" s="86" t="s">
        <v>84</v>
      </c>
      <c r="AY3" s="86" t="s">
        <v>85</v>
      </c>
      <c r="AZ3" s="86" t="s">
        <v>86</v>
      </c>
      <c r="BA3" s="86" t="s">
        <v>87</v>
      </c>
      <c r="BB3" s="86" t="s">
        <v>88</v>
      </c>
      <c r="BC3" s="88"/>
    </row>
    <row r="4" spans="1:55" x14ac:dyDescent="0.2">
      <c r="A4" s="86">
        <v>1</v>
      </c>
      <c r="B4" s="327" t="s">
        <v>660</v>
      </c>
      <c r="C4" s="86"/>
      <c r="D4" s="326">
        <f>SUM(E4:BB4)</f>
        <v>67.353318108941821</v>
      </c>
      <c r="E4" s="325">
        <f>(E11+E13+E20)/1000000000</f>
        <v>1.1696471556698442</v>
      </c>
      <c r="F4" s="325">
        <f t="shared" ref="F4:BB4" si="0">(F11+F13+F20)/1000000000</f>
        <v>0.19042213355345761</v>
      </c>
      <c r="G4" s="325">
        <f t="shared" si="0"/>
        <v>1.3461218374702626</v>
      </c>
      <c r="H4" s="325">
        <f t="shared" si="0"/>
        <v>0.7877346515426773</v>
      </c>
      <c r="I4" s="325">
        <f t="shared" si="0"/>
        <v>8.1378062048624358</v>
      </c>
      <c r="J4" s="325">
        <f t="shared" si="0"/>
        <v>1.2022306704259267</v>
      </c>
      <c r="K4" s="325">
        <f t="shared" si="0"/>
        <v>0.75384679764710438</v>
      </c>
      <c r="L4" s="325">
        <f t="shared" si="0"/>
        <v>0.19182283076155934</v>
      </c>
      <c r="M4" s="325">
        <f t="shared" si="0"/>
        <v>4.2739264262874173</v>
      </c>
      <c r="N4" s="325">
        <f t="shared" si="0"/>
        <v>2.0969926717093199</v>
      </c>
      <c r="O4" s="325">
        <f t="shared" si="0"/>
        <v>0.2750615959267449</v>
      </c>
      <c r="P4" s="325">
        <f t="shared" si="0"/>
        <v>0.39647512085241821</v>
      </c>
      <c r="Q4" s="325">
        <f t="shared" si="0"/>
        <v>2.5361838099369249</v>
      </c>
      <c r="R4" s="325">
        <f t="shared" si="0"/>
        <v>1.4665423011110665</v>
      </c>
      <c r="S4" s="325">
        <f t="shared" si="0"/>
        <v>0.58757039465095495</v>
      </c>
      <c r="T4" s="325">
        <f t="shared" si="0"/>
        <v>0.67720398753587585</v>
      </c>
      <c r="U4" s="325">
        <f t="shared" si="0"/>
        <v>0.98467913664229001</v>
      </c>
      <c r="V4" s="325">
        <f t="shared" si="0"/>
        <v>1.0645996137076474</v>
      </c>
      <c r="W4" s="325">
        <f t="shared" si="0"/>
        <v>0.32196545565115853</v>
      </c>
      <c r="X4" s="325">
        <f t="shared" si="0"/>
        <v>1.1731792807871544</v>
      </c>
      <c r="Y4" s="325">
        <f t="shared" si="0"/>
        <v>1.2903041741531291</v>
      </c>
      <c r="Z4" s="325">
        <f t="shared" si="0"/>
        <v>2.2453417149884758</v>
      </c>
      <c r="AA4" s="325">
        <f t="shared" si="0"/>
        <v>1.199414566840693</v>
      </c>
      <c r="AB4" s="325">
        <f t="shared" si="0"/>
        <v>0.71652226252525808</v>
      </c>
      <c r="AC4" s="325">
        <f t="shared" si="0"/>
        <v>1.3936487177680426</v>
      </c>
      <c r="AD4" s="325">
        <f t="shared" si="0"/>
        <v>0.22951236762288718</v>
      </c>
      <c r="AE4" s="325">
        <f t="shared" si="0"/>
        <v>0.41008415963464118</v>
      </c>
      <c r="AF4" s="325">
        <f t="shared" si="0"/>
        <v>0.67659420731156683</v>
      </c>
      <c r="AG4" s="325">
        <f t="shared" si="0"/>
        <v>0.30722273282917867</v>
      </c>
      <c r="AH4" s="325">
        <f t="shared" si="0"/>
        <v>1.8001229019833878</v>
      </c>
      <c r="AI4" s="325">
        <f t="shared" si="0"/>
        <v>0.43998364616479851</v>
      </c>
      <c r="AJ4" s="325">
        <f t="shared" si="0"/>
        <v>3.9391495626324819</v>
      </c>
      <c r="AK4" s="325">
        <f t="shared" si="0"/>
        <v>2.0485973536224735</v>
      </c>
      <c r="AL4" s="325">
        <f t="shared" si="0"/>
        <v>0.13674126445273144</v>
      </c>
      <c r="AM4" s="325">
        <f t="shared" si="0"/>
        <v>2.5863329916285491</v>
      </c>
      <c r="AN4" s="325">
        <f t="shared" si="0"/>
        <v>1.0080411062124246</v>
      </c>
      <c r="AO4" s="325">
        <f t="shared" si="0"/>
        <v>0.84429717492731859</v>
      </c>
      <c r="AP4" s="325">
        <f t="shared" si="0"/>
        <v>2.5097268898766032</v>
      </c>
      <c r="AQ4" s="325">
        <f t="shared" si="0"/>
        <v>0.22591306762857913</v>
      </c>
      <c r="AR4" s="325">
        <f t="shared" si="0"/>
        <v>0.94104705037589875</v>
      </c>
      <c r="AS4" s="325">
        <f t="shared" si="0"/>
        <v>0.17651111187302168</v>
      </c>
      <c r="AT4" s="325">
        <f t="shared" si="0"/>
        <v>1.5150772847927145</v>
      </c>
      <c r="AU4" s="325">
        <f t="shared" si="0"/>
        <v>5.1686612010554063</v>
      </c>
      <c r="AV4" s="325">
        <f t="shared" si="0"/>
        <v>0.60737231824099969</v>
      </c>
      <c r="AW4" s="325">
        <f t="shared" si="0"/>
        <v>0.14375242853250797</v>
      </c>
      <c r="AX4" s="325">
        <f t="shared" si="0"/>
        <v>1.7914143073050057</v>
      </c>
      <c r="AY4" s="325">
        <f t="shared" si="0"/>
        <v>1.5650857178932529</v>
      </c>
      <c r="AZ4" s="325">
        <f t="shared" si="0"/>
        <v>0.49406151280219068</v>
      </c>
      <c r="BA4" s="325">
        <f t="shared" si="0"/>
        <v>1.1659844602333655</v>
      </c>
      <c r="BB4" s="325">
        <f t="shared" si="0"/>
        <v>0.14278777630199449</v>
      </c>
      <c r="BC4" s="88"/>
    </row>
    <row r="5" spans="1:55" x14ac:dyDescent="0.2">
      <c r="A5" s="86">
        <v>2</v>
      </c>
      <c r="B5" s="88" t="s">
        <v>619</v>
      </c>
      <c r="C5" s="86"/>
      <c r="D5" s="122">
        <f>'GPI Summary'!C32</f>
        <v>310968796</v>
      </c>
      <c r="E5" s="122">
        <f>'GPI Summary'!D32</f>
        <v>4803689</v>
      </c>
      <c r="F5" s="122">
        <f>'GPI Summary'!E32</f>
        <v>723860</v>
      </c>
      <c r="G5" s="122">
        <f>'GPI Summary'!F32</f>
        <v>6467315</v>
      </c>
      <c r="H5" s="122">
        <f>'GPI Summary'!G32</f>
        <v>2938582</v>
      </c>
      <c r="I5" s="122">
        <f>'GPI Summary'!H32</f>
        <v>37683933</v>
      </c>
      <c r="J5" s="122">
        <f>'GPI Summary'!I32</f>
        <v>5116302</v>
      </c>
      <c r="K5" s="122">
        <f>'GPI Summary'!J32</f>
        <v>3586717</v>
      </c>
      <c r="L5" s="122">
        <f>'GPI Summary'!K32</f>
        <v>908137</v>
      </c>
      <c r="M5" s="122">
        <f>'GPI Summary'!L32</f>
        <v>19082262</v>
      </c>
      <c r="N5" s="122">
        <f>'GPI Summary'!M32</f>
        <v>9812460</v>
      </c>
      <c r="O5" s="122">
        <f>'GPI Summary'!N32</f>
        <v>1378129</v>
      </c>
      <c r="P5" s="122">
        <f>'GPI Summary'!O32</f>
        <v>1583744</v>
      </c>
      <c r="Q5" s="122">
        <f>'GPI Summary'!P32</f>
        <v>12859752</v>
      </c>
      <c r="R5" s="122">
        <f>'GPI Summary'!Q32</f>
        <v>6516353</v>
      </c>
      <c r="S5" s="122">
        <f>'GPI Summary'!R32</f>
        <v>3064097</v>
      </c>
      <c r="T5" s="122">
        <f>'GPI Summary'!S32</f>
        <v>2870386</v>
      </c>
      <c r="U5" s="122">
        <f>'GPI Summary'!T32</f>
        <v>4366814</v>
      </c>
      <c r="V5" s="122">
        <f>'GPI Summary'!U32</f>
        <v>4574766</v>
      </c>
      <c r="W5" s="122">
        <f>'GPI Summary'!V32</f>
        <v>1328544</v>
      </c>
      <c r="X5" s="122">
        <f>'GPI Summary'!W32</f>
        <v>5839572</v>
      </c>
      <c r="Y5" s="122">
        <f>'GPI Summary'!X32</f>
        <v>6607003</v>
      </c>
      <c r="Z5" s="122">
        <f>'GPI Summary'!Y32</f>
        <v>9876801</v>
      </c>
      <c r="AA5" s="122">
        <f>'GPI Summary'!Z32</f>
        <v>5347299</v>
      </c>
      <c r="AB5" s="122">
        <f>'GPI Summary'!AA32</f>
        <v>2977457</v>
      </c>
      <c r="AC5" s="122">
        <f>'GPI Summary'!AB32</f>
        <v>6008984</v>
      </c>
      <c r="AD5" s="122">
        <f>'GPI Summary'!AC32</f>
        <v>997667</v>
      </c>
      <c r="AE5" s="122">
        <f>'GPI Summary'!AD32</f>
        <v>1842234</v>
      </c>
      <c r="AF5" s="122">
        <f>'GPI Summary'!AE32</f>
        <v>2720028</v>
      </c>
      <c r="AG5" s="122">
        <f>'GPI Summary'!AF32</f>
        <v>1317807</v>
      </c>
      <c r="AH5" s="122">
        <f>'GPI Summary'!AG32</f>
        <v>8834773</v>
      </c>
      <c r="AI5" s="122">
        <f>'GPI Summary'!AH32</f>
        <v>2078674</v>
      </c>
      <c r="AJ5" s="122">
        <f>'GPI Summary'!AI32</f>
        <v>19501616</v>
      </c>
      <c r="AK5" s="122">
        <f>'GPI Summary'!AJ32</f>
        <v>9651103</v>
      </c>
      <c r="AL5" s="122">
        <f>'GPI Summary'!AK32</f>
        <v>684740</v>
      </c>
      <c r="AM5" s="122">
        <f>'GPI Summary'!AL32</f>
        <v>11541007</v>
      </c>
      <c r="AN5" s="122">
        <f>'GPI Summary'!AM32</f>
        <v>3784163</v>
      </c>
      <c r="AO5" s="122">
        <f>'GPI Summary'!AN32</f>
        <v>3868229</v>
      </c>
      <c r="AP5" s="122">
        <f>'GPI Summary'!AO32</f>
        <v>12743948</v>
      </c>
      <c r="AQ5" s="122">
        <f>'GPI Summary'!AP32</f>
        <v>1050646</v>
      </c>
      <c r="AR5" s="122">
        <f>'GPI Summary'!AQ32</f>
        <v>4673348</v>
      </c>
      <c r="AS5" s="122">
        <f>'GPI Summary'!AR32</f>
        <v>823593</v>
      </c>
      <c r="AT5" s="122">
        <f>'GPI Summary'!AS32</f>
        <v>6399787</v>
      </c>
      <c r="AU5" s="122">
        <f>'GPI Summary'!AT32</f>
        <v>25631778</v>
      </c>
      <c r="AV5" s="122">
        <f>'GPI Summary'!AU32</f>
        <v>2814347</v>
      </c>
      <c r="AW5" s="122">
        <f>'GPI Summary'!AV32</f>
        <v>626592</v>
      </c>
      <c r="AX5" s="122">
        <f>'GPI Summary'!AW32</f>
        <v>8104384</v>
      </c>
      <c r="AY5" s="122">
        <f>'GPI Summary'!AX32</f>
        <v>6823267</v>
      </c>
      <c r="AZ5" s="122">
        <f>'GPI Summary'!AY32</f>
        <v>1854908</v>
      </c>
      <c r="BA5" s="122">
        <f>'GPI Summary'!AZ32</f>
        <v>5709843</v>
      </c>
      <c r="BB5" s="122">
        <f>'GPI Summary'!BA32</f>
        <v>567356</v>
      </c>
      <c r="BC5" s="88"/>
    </row>
    <row r="6" spans="1:55" x14ac:dyDescent="0.2">
      <c r="A6" s="86">
        <v>3</v>
      </c>
      <c r="B6" s="330" t="s">
        <v>570</v>
      </c>
      <c r="C6" s="86"/>
      <c r="D6" s="86"/>
      <c r="E6" s="328">
        <v>4.3</v>
      </c>
      <c r="F6" s="328">
        <v>4.8</v>
      </c>
      <c r="G6" s="328">
        <v>3.9</v>
      </c>
      <c r="H6" s="328">
        <v>5.3</v>
      </c>
      <c r="I6" s="328">
        <v>3.6</v>
      </c>
      <c r="J6" s="328">
        <v>4.4000000000000004</v>
      </c>
      <c r="K6" s="328">
        <v>3.1</v>
      </c>
      <c r="L6" s="328">
        <v>3.6</v>
      </c>
      <c r="M6" s="328">
        <v>4.5</v>
      </c>
      <c r="N6" s="328">
        <v>3.6</v>
      </c>
      <c r="O6" s="328">
        <v>3.6</v>
      </c>
      <c r="P6" s="328">
        <v>4.9000000000000004</v>
      </c>
      <c r="Q6" s="328">
        <v>2.6</v>
      </c>
      <c r="R6" s="328">
        <v>3.6</v>
      </c>
      <c r="S6" s="328">
        <v>2.4</v>
      </c>
      <c r="T6" s="328">
        <v>3.9</v>
      </c>
      <c r="U6" s="328">
        <v>3.6</v>
      </c>
      <c r="V6" s="328">
        <v>3.6</v>
      </c>
      <c r="W6" s="328">
        <v>4.2</v>
      </c>
      <c r="X6" s="328">
        <v>2.9</v>
      </c>
      <c r="Y6" s="328">
        <v>2.7</v>
      </c>
      <c r="Z6" s="328">
        <v>3.4</v>
      </c>
      <c r="AA6" s="328">
        <v>3.6</v>
      </c>
      <c r="AB6" s="328">
        <v>4</v>
      </c>
      <c r="AC6" s="328">
        <v>3.9</v>
      </c>
      <c r="AD6" s="328">
        <v>4</v>
      </c>
      <c r="AE6" s="328">
        <v>3.5</v>
      </c>
      <c r="AF6" s="328">
        <v>5.6</v>
      </c>
      <c r="AG6" s="328">
        <v>3.8</v>
      </c>
      <c r="AH6" s="328">
        <v>2.9</v>
      </c>
      <c r="AI6" s="328">
        <v>3.3</v>
      </c>
      <c r="AJ6" s="328">
        <v>2.9</v>
      </c>
      <c r="AK6" s="328">
        <v>3.7</v>
      </c>
      <c r="AL6" s="328">
        <v>2.7</v>
      </c>
      <c r="AM6" s="328">
        <v>3.4</v>
      </c>
      <c r="AN6" s="328">
        <v>5.2</v>
      </c>
      <c r="AO6" s="328">
        <v>3.8</v>
      </c>
      <c r="AP6" s="328">
        <v>2.8</v>
      </c>
      <c r="AQ6" s="328">
        <v>3.2</v>
      </c>
      <c r="AR6" s="328">
        <v>3.2</v>
      </c>
      <c r="AS6" s="328">
        <v>3.3</v>
      </c>
      <c r="AT6" s="328">
        <v>4.3</v>
      </c>
      <c r="AU6" s="328">
        <v>3.2</v>
      </c>
      <c r="AV6" s="328">
        <v>3.7</v>
      </c>
      <c r="AW6" s="329">
        <v>3.6</v>
      </c>
      <c r="AX6" s="328">
        <v>3.8</v>
      </c>
      <c r="AY6" s="328">
        <v>4.0999999999999996</v>
      </c>
      <c r="AZ6" s="328">
        <v>5.2</v>
      </c>
      <c r="BA6" s="328">
        <v>2.9</v>
      </c>
      <c r="BB6" s="328">
        <v>4.8</v>
      </c>
      <c r="BC6" s="88"/>
    </row>
    <row r="7" spans="1:55" x14ac:dyDescent="0.2">
      <c r="A7" s="86">
        <v>4</v>
      </c>
      <c r="B7" s="88" t="s">
        <v>648</v>
      </c>
      <c r="C7" s="86"/>
      <c r="D7" s="86"/>
      <c r="E7" s="331">
        <f>(E5/1000)*E6</f>
        <v>20655.862700000001</v>
      </c>
      <c r="F7" s="331">
        <f t="shared" ref="F7:BB7" si="1">(F5/1000)*F6</f>
        <v>3474.5279999999998</v>
      </c>
      <c r="G7" s="331">
        <f t="shared" si="1"/>
        <v>25222.528499999997</v>
      </c>
      <c r="H7" s="331">
        <f t="shared" si="1"/>
        <v>15574.484599999998</v>
      </c>
      <c r="I7" s="331">
        <f t="shared" si="1"/>
        <v>135662.1588</v>
      </c>
      <c r="J7" s="331">
        <f t="shared" si="1"/>
        <v>22511.728800000001</v>
      </c>
      <c r="K7" s="331">
        <f t="shared" si="1"/>
        <v>11118.822700000001</v>
      </c>
      <c r="L7" s="331">
        <f t="shared" si="1"/>
        <v>3269.2932000000001</v>
      </c>
      <c r="M7" s="331">
        <f t="shared" si="1"/>
        <v>85870.178999999989</v>
      </c>
      <c r="N7" s="331">
        <f t="shared" si="1"/>
        <v>35324.856</v>
      </c>
      <c r="O7" s="331">
        <f t="shared" si="1"/>
        <v>4961.2644</v>
      </c>
      <c r="P7" s="331">
        <f t="shared" si="1"/>
        <v>7760.3456000000006</v>
      </c>
      <c r="Q7" s="331">
        <f t="shared" si="1"/>
        <v>33435.355200000005</v>
      </c>
      <c r="R7" s="331">
        <f t="shared" si="1"/>
        <v>23458.870800000001</v>
      </c>
      <c r="S7" s="331">
        <f t="shared" si="1"/>
        <v>7353.8328000000001</v>
      </c>
      <c r="T7" s="331">
        <f t="shared" si="1"/>
        <v>11194.5054</v>
      </c>
      <c r="U7" s="331">
        <f t="shared" si="1"/>
        <v>15720.530400000001</v>
      </c>
      <c r="V7" s="331">
        <f t="shared" si="1"/>
        <v>16469.157599999999</v>
      </c>
      <c r="W7" s="331">
        <f t="shared" si="1"/>
        <v>5579.8848000000007</v>
      </c>
      <c r="X7" s="331">
        <f t="shared" si="1"/>
        <v>16934.7588</v>
      </c>
      <c r="Y7" s="331">
        <f t="shared" si="1"/>
        <v>17838.908100000001</v>
      </c>
      <c r="Z7" s="331">
        <f t="shared" si="1"/>
        <v>33581.123399999997</v>
      </c>
      <c r="AA7" s="331">
        <f t="shared" si="1"/>
        <v>19250.276399999999</v>
      </c>
      <c r="AB7" s="331">
        <f t="shared" si="1"/>
        <v>11909.828</v>
      </c>
      <c r="AC7" s="331">
        <f t="shared" si="1"/>
        <v>23435.0376</v>
      </c>
      <c r="AD7" s="331">
        <f t="shared" si="1"/>
        <v>3990.6680000000001</v>
      </c>
      <c r="AE7" s="331">
        <f t="shared" si="1"/>
        <v>6447.8189999999995</v>
      </c>
      <c r="AF7" s="331">
        <f t="shared" si="1"/>
        <v>15232.156799999997</v>
      </c>
      <c r="AG7" s="331">
        <f t="shared" si="1"/>
        <v>5007.6665999999996</v>
      </c>
      <c r="AH7" s="331">
        <f t="shared" si="1"/>
        <v>25620.841699999997</v>
      </c>
      <c r="AI7" s="331">
        <f t="shared" si="1"/>
        <v>6859.6241999999993</v>
      </c>
      <c r="AJ7" s="331">
        <f t="shared" si="1"/>
        <v>56554.686400000006</v>
      </c>
      <c r="AK7" s="331">
        <f t="shared" si="1"/>
        <v>35709.081099999996</v>
      </c>
      <c r="AL7" s="331">
        <f t="shared" si="1"/>
        <v>1848.7980000000002</v>
      </c>
      <c r="AM7" s="331">
        <f t="shared" si="1"/>
        <v>39239.423799999997</v>
      </c>
      <c r="AN7" s="331">
        <f t="shared" si="1"/>
        <v>19677.6476</v>
      </c>
      <c r="AO7" s="331">
        <f t="shared" si="1"/>
        <v>14699.270199999999</v>
      </c>
      <c r="AP7" s="331">
        <f t="shared" si="1"/>
        <v>35683.054400000001</v>
      </c>
      <c r="AQ7" s="331">
        <f t="shared" si="1"/>
        <v>3362.0672</v>
      </c>
      <c r="AR7" s="331">
        <f t="shared" si="1"/>
        <v>14954.713600000001</v>
      </c>
      <c r="AS7" s="331">
        <f t="shared" si="1"/>
        <v>2717.8568999999998</v>
      </c>
      <c r="AT7" s="331">
        <f t="shared" si="1"/>
        <v>27519.0841</v>
      </c>
      <c r="AU7" s="331">
        <f t="shared" si="1"/>
        <v>82021.689599999998</v>
      </c>
      <c r="AV7" s="331">
        <f t="shared" si="1"/>
        <v>10413.083900000001</v>
      </c>
      <c r="AW7" s="331">
        <f t="shared" si="1"/>
        <v>2255.7312000000002</v>
      </c>
      <c r="AX7" s="331">
        <f t="shared" si="1"/>
        <v>30796.659199999998</v>
      </c>
      <c r="AY7" s="331">
        <f t="shared" si="1"/>
        <v>27975.394699999997</v>
      </c>
      <c r="AZ7" s="331">
        <f t="shared" si="1"/>
        <v>9645.5216</v>
      </c>
      <c r="BA7" s="331">
        <f t="shared" si="1"/>
        <v>16558.544699999999</v>
      </c>
      <c r="BB7" s="331">
        <f t="shared" si="1"/>
        <v>2723.3087999999998</v>
      </c>
      <c r="BC7" s="88"/>
    </row>
    <row r="8" spans="1:55" x14ac:dyDescent="0.2">
      <c r="A8" s="86">
        <v>5</v>
      </c>
      <c r="B8" s="330" t="s">
        <v>571</v>
      </c>
      <c r="C8" s="88"/>
      <c r="D8" s="247">
        <v>0.89</v>
      </c>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123"/>
      <c r="AX8" s="86"/>
      <c r="AY8" s="86"/>
      <c r="AZ8" s="86"/>
      <c r="BA8" s="86"/>
      <c r="BB8" s="86"/>
      <c r="BC8" s="88"/>
    </row>
    <row r="9" spans="1:55" x14ac:dyDescent="0.2">
      <c r="A9" s="86">
        <v>6</v>
      </c>
      <c r="B9" s="88" t="s">
        <v>705</v>
      </c>
      <c r="C9" s="88"/>
      <c r="E9" s="331">
        <f>(E7)*$D8</f>
        <v>18383.717803000003</v>
      </c>
      <c r="F9" s="331">
        <f t="shared" ref="F9:BB9" si="2">(F7)*$D8</f>
        <v>3092.3299199999997</v>
      </c>
      <c r="G9" s="331">
        <f t="shared" si="2"/>
        <v>22448.050364999999</v>
      </c>
      <c r="H9" s="331">
        <f t="shared" si="2"/>
        <v>13861.291293999999</v>
      </c>
      <c r="I9" s="331">
        <f t="shared" si="2"/>
        <v>120739.32133200001</v>
      </c>
      <c r="J9" s="331">
        <f t="shared" si="2"/>
        <v>20035.438632000001</v>
      </c>
      <c r="K9" s="331">
        <f t="shared" si="2"/>
        <v>9895.752203</v>
      </c>
      <c r="L9" s="331">
        <f t="shared" si="2"/>
        <v>2909.670948</v>
      </c>
      <c r="M9" s="331">
        <f t="shared" si="2"/>
        <v>76424.459309999991</v>
      </c>
      <c r="N9" s="331">
        <f t="shared" si="2"/>
        <v>31439.12184</v>
      </c>
      <c r="O9" s="331">
        <f t="shared" si="2"/>
        <v>4415.5253160000002</v>
      </c>
      <c r="P9" s="331">
        <f t="shared" si="2"/>
        <v>6906.7075840000007</v>
      </c>
      <c r="Q9" s="331">
        <f t="shared" si="2"/>
        <v>29757.466128000004</v>
      </c>
      <c r="R9" s="331">
        <f t="shared" si="2"/>
        <v>20878.395012000001</v>
      </c>
      <c r="S9" s="331">
        <f t="shared" si="2"/>
        <v>6544.9111920000005</v>
      </c>
      <c r="T9" s="331">
        <f t="shared" si="2"/>
        <v>9963.1098060000004</v>
      </c>
      <c r="U9" s="331">
        <f t="shared" si="2"/>
        <v>13991.272056000002</v>
      </c>
      <c r="V9" s="331">
        <f t="shared" si="2"/>
        <v>14657.550264</v>
      </c>
      <c r="W9" s="331">
        <f t="shared" si="2"/>
        <v>4966.0974720000004</v>
      </c>
      <c r="X9" s="331">
        <f t="shared" si="2"/>
        <v>15071.935331999999</v>
      </c>
      <c r="Y9" s="331">
        <f t="shared" si="2"/>
        <v>15876.628209</v>
      </c>
      <c r="Z9" s="331">
        <f t="shared" si="2"/>
        <v>29887.199825999996</v>
      </c>
      <c r="AA9" s="331">
        <f t="shared" si="2"/>
        <v>17132.745995999998</v>
      </c>
      <c r="AB9" s="331">
        <f t="shared" si="2"/>
        <v>10599.74692</v>
      </c>
      <c r="AC9" s="331">
        <f t="shared" si="2"/>
        <v>20857.183464000002</v>
      </c>
      <c r="AD9" s="331">
        <f t="shared" si="2"/>
        <v>3551.69452</v>
      </c>
      <c r="AE9" s="331">
        <f t="shared" si="2"/>
        <v>5738.5589099999997</v>
      </c>
      <c r="AF9" s="331">
        <f t="shared" si="2"/>
        <v>13556.619551999998</v>
      </c>
      <c r="AG9" s="331">
        <f t="shared" si="2"/>
        <v>4456.8232739999994</v>
      </c>
      <c r="AH9" s="331">
        <f t="shared" si="2"/>
        <v>22802.549112999997</v>
      </c>
      <c r="AI9" s="331">
        <f t="shared" si="2"/>
        <v>6105.0655379999998</v>
      </c>
      <c r="AJ9" s="331">
        <f t="shared" si="2"/>
        <v>50333.670896000003</v>
      </c>
      <c r="AK9" s="331">
        <f t="shared" si="2"/>
        <v>31781.082178999997</v>
      </c>
      <c r="AL9" s="331">
        <f t="shared" si="2"/>
        <v>1645.4302200000002</v>
      </c>
      <c r="AM9" s="331">
        <f t="shared" si="2"/>
        <v>34923.087181999996</v>
      </c>
      <c r="AN9" s="331">
        <f t="shared" si="2"/>
        <v>17513.106363999999</v>
      </c>
      <c r="AO9" s="331">
        <f t="shared" si="2"/>
        <v>13082.350477999998</v>
      </c>
      <c r="AP9" s="331">
        <f t="shared" si="2"/>
        <v>31757.918416</v>
      </c>
      <c r="AQ9" s="331">
        <f t="shared" si="2"/>
        <v>2992.2398079999998</v>
      </c>
      <c r="AR9" s="331">
        <f t="shared" si="2"/>
        <v>13309.695104</v>
      </c>
      <c r="AS9" s="331">
        <f t="shared" si="2"/>
        <v>2418.8926409999999</v>
      </c>
      <c r="AT9" s="331">
        <f t="shared" si="2"/>
        <v>24491.984849</v>
      </c>
      <c r="AU9" s="331">
        <f t="shared" si="2"/>
        <v>72999.303744000004</v>
      </c>
      <c r="AV9" s="331">
        <f t="shared" si="2"/>
        <v>9267.6446710000018</v>
      </c>
      <c r="AW9" s="331">
        <f t="shared" si="2"/>
        <v>2007.6007680000002</v>
      </c>
      <c r="AX9" s="331">
        <f t="shared" si="2"/>
        <v>27409.026687999998</v>
      </c>
      <c r="AY9" s="331">
        <f t="shared" si="2"/>
        <v>24898.101282999996</v>
      </c>
      <c r="AZ9" s="331">
        <f t="shared" si="2"/>
        <v>8584.5142240000005</v>
      </c>
      <c r="BA9" s="331">
        <f t="shared" si="2"/>
        <v>14737.104782999999</v>
      </c>
      <c r="BB9" s="331">
        <f t="shared" si="2"/>
        <v>2423.7448319999999</v>
      </c>
      <c r="BC9" s="88"/>
    </row>
    <row r="10" spans="1:55" x14ac:dyDescent="0.2">
      <c r="A10" s="86">
        <v>7</v>
      </c>
      <c r="B10" s="332" t="s">
        <v>650</v>
      </c>
      <c r="C10" s="85"/>
      <c r="D10" s="304">
        <v>17844.09</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123"/>
      <c r="AX10" s="86"/>
      <c r="AY10" s="86"/>
      <c r="AZ10" s="86"/>
      <c r="BA10" s="86"/>
      <c r="BB10" s="86"/>
      <c r="BC10" s="88"/>
    </row>
    <row r="11" spans="1:55" x14ac:dyDescent="0.2">
      <c r="A11" s="86">
        <v>8</v>
      </c>
      <c r="B11" s="85" t="s">
        <v>706</v>
      </c>
      <c r="C11" s="453">
        <f>D11/1000000000/$D$4</f>
        <v>0.26056742625585333</v>
      </c>
      <c r="D11" s="452">
        <f>SUM(E11:BB11)</f>
        <v>17550080749.438728</v>
      </c>
      <c r="E11" s="333">
        <f>E9*$D10</f>
        <v>328040715.0113343</v>
      </c>
      <c r="F11" s="331">
        <f t="shared" ref="F11:BB11" si="3">F9*$D10</f>
        <v>55179813.402172796</v>
      </c>
      <c r="G11" s="331">
        <f t="shared" si="3"/>
        <v>400565031.03759283</v>
      </c>
      <c r="H11" s="331">
        <f t="shared" si="3"/>
        <v>247342129.36635244</v>
      </c>
      <c r="I11" s="331">
        <f t="shared" si="3"/>
        <v>2154483316.3871279</v>
      </c>
      <c r="J11" s="331">
        <f t="shared" si="3"/>
        <v>357514170.1388849</v>
      </c>
      <c r="K11" s="331">
        <f t="shared" si="3"/>
        <v>176580692.92803028</v>
      </c>
      <c r="L11" s="331">
        <f t="shared" si="3"/>
        <v>51920430.266497321</v>
      </c>
      <c r="M11" s="331">
        <f t="shared" si="3"/>
        <v>1363724930.1289778</v>
      </c>
      <c r="N11" s="331">
        <f t="shared" si="3"/>
        <v>561002519.63392556</v>
      </c>
      <c r="O11" s="331">
        <f t="shared" si="3"/>
        <v>78791031.135982439</v>
      </c>
      <c r="P11" s="331">
        <f t="shared" si="3"/>
        <v>123243911.73257858</v>
      </c>
      <c r="Q11" s="331">
        <f t="shared" si="3"/>
        <v>530994903.7599836</v>
      </c>
      <c r="R11" s="331">
        <f t="shared" si="3"/>
        <v>372555959.64967912</v>
      </c>
      <c r="S11" s="331">
        <f t="shared" si="3"/>
        <v>116787984.3520553</v>
      </c>
      <c r="T11" s="331">
        <f t="shared" si="3"/>
        <v>177782628.05814654</v>
      </c>
      <c r="U11" s="331">
        <f t="shared" si="3"/>
        <v>249661517.78174907</v>
      </c>
      <c r="V11" s="331">
        <f t="shared" si="3"/>
        <v>261550646.09033975</v>
      </c>
      <c r="W11" s="331">
        <f t="shared" si="3"/>
        <v>88615490.239140481</v>
      </c>
      <c r="X11" s="331">
        <f t="shared" si="3"/>
        <v>268944970.53838789</v>
      </c>
      <c r="Y11" s="331">
        <f t="shared" si="3"/>
        <v>283303982.65793484</v>
      </c>
      <c r="Z11" s="331">
        <f t="shared" si="3"/>
        <v>533309883.54312825</v>
      </c>
      <c r="AA11" s="331">
        <f t="shared" si="3"/>
        <v>305718261.49976361</v>
      </c>
      <c r="AB11" s="331">
        <f t="shared" si="3"/>
        <v>189142838.01770279</v>
      </c>
      <c r="AC11" s="331">
        <f t="shared" si="3"/>
        <v>372177458.87812781</v>
      </c>
      <c r="AD11" s="331">
        <f t="shared" si="3"/>
        <v>63376756.6673868</v>
      </c>
      <c r="AE11" s="331">
        <f t="shared" si="3"/>
        <v>102399361.6603419</v>
      </c>
      <c r="AF11" s="331">
        <f t="shared" si="3"/>
        <v>241905539.38164765</v>
      </c>
      <c r="AG11" s="331">
        <f t="shared" si="3"/>
        <v>79527955.615350649</v>
      </c>
      <c r="AH11" s="331">
        <f t="shared" si="3"/>
        <v>406890738.6017921</v>
      </c>
      <c r="AI11" s="331">
        <f t="shared" si="3"/>
        <v>108939338.91597041</v>
      </c>
      <c r="AJ11" s="331">
        <f t="shared" si="3"/>
        <v>898158553.49860466</v>
      </c>
      <c r="AK11" s="331">
        <f t="shared" si="3"/>
        <v>567104490.69947207</v>
      </c>
      <c r="AL11" s="331">
        <f t="shared" si="3"/>
        <v>29361204.934399802</v>
      </c>
      <c r="AM11" s="331">
        <f t="shared" si="3"/>
        <v>623170710.75345433</v>
      </c>
      <c r="AN11" s="331">
        <f t="shared" si="3"/>
        <v>312505446.13878876</v>
      </c>
      <c r="AO11" s="331">
        <f t="shared" si="3"/>
        <v>233442639.34097499</v>
      </c>
      <c r="AP11" s="331">
        <f t="shared" si="3"/>
        <v>566691154.42776144</v>
      </c>
      <c r="AQ11" s="331">
        <f t="shared" si="3"/>
        <v>53393796.435534716</v>
      </c>
      <c r="AR11" s="331">
        <f t="shared" si="3"/>
        <v>237499397.30833536</v>
      </c>
      <c r="AS11" s="331">
        <f t="shared" si="3"/>
        <v>43162937.986341693</v>
      </c>
      <c r="AT11" s="331">
        <f t="shared" si="3"/>
        <v>437037181.92419243</v>
      </c>
      <c r="AU11" s="331">
        <f t="shared" si="3"/>
        <v>1302606145.9452732</v>
      </c>
      <c r="AV11" s="331">
        <f t="shared" si="3"/>
        <v>165372685.59734443</v>
      </c>
      <c r="AW11" s="331">
        <f t="shared" si="3"/>
        <v>35823808.788261123</v>
      </c>
      <c r="AX11" s="331">
        <f t="shared" si="3"/>
        <v>489089139.0330739</v>
      </c>
      <c r="AY11" s="331">
        <f t="shared" si="3"/>
        <v>444283960.12296742</v>
      </c>
      <c r="AZ11" s="331">
        <f t="shared" si="3"/>
        <v>153182844.41933617</v>
      </c>
      <c r="BA11" s="331">
        <f t="shared" si="3"/>
        <v>262970224.08728245</v>
      </c>
      <c r="BB11" s="331">
        <f t="shared" si="3"/>
        <v>43249520.919242881</v>
      </c>
      <c r="BC11" s="88"/>
    </row>
    <row r="12" spans="1:55" ht="20.25" customHeight="1" x14ac:dyDescent="0.2">
      <c r="A12" s="86">
        <v>9</v>
      </c>
      <c r="B12" s="332" t="s">
        <v>573</v>
      </c>
      <c r="C12" s="85"/>
      <c r="D12" s="304">
        <v>11895.36</v>
      </c>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123"/>
      <c r="AX12" s="86"/>
      <c r="AY12" s="86"/>
      <c r="AZ12" s="86"/>
      <c r="BA12" s="86"/>
      <c r="BB12" s="86"/>
      <c r="BC12" s="88"/>
    </row>
    <row r="13" spans="1:55" x14ac:dyDescent="0.2">
      <c r="A13" s="86">
        <v>10</v>
      </c>
      <c r="B13" s="85" t="s">
        <v>574</v>
      </c>
      <c r="C13" s="453">
        <f>D13/1000000000/$D$4</f>
        <v>0.19517010762823414</v>
      </c>
      <c r="D13" s="452">
        <f>SUM(E13:BB13)</f>
        <v>13145354344.440866</v>
      </c>
      <c r="E13" s="333">
        <f>E7*$D12</f>
        <v>245708922.92707202</v>
      </c>
      <c r="F13" s="331">
        <f t="shared" ref="F13:BB13" si="4">F7*$D12</f>
        <v>41330761.390079997</v>
      </c>
      <c r="G13" s="331">
        <f t="shared" si="4"/>
        <v>300031056.61776</v>
      </c>
      <c r="H13" s="331">
        <f t="shared" si="4"/>
        <v>185264101.13145599</v>
      </c>
      <c r="I13" s="331">
        <f t="shared" si="4"/>
        <v>1613750217.3031681</v>
      </c>
      <c r="J13" s="331">
        <f t="shared" si="4"/>
        <v>267785118.29836804</v>
      </c>
      <c r="K13" s="331">
        <f t="shared" si="4"/>
        <v>132262398.79267201</v>
      </c>
      <c r="L13" s="331">
        <f t="shared" si="4"/>
        <v>38889419.559552006</v>
      </c>
      <c r="M13" s="331">
        <f t="shared" si="4"/>
        <v>1021456692.4694399</v>
      </c>
      <c r="N13" s="331">
        <f t="shared" si="4"/>
        <v>420201879.06816</v>
      </c>
      <c r="O13" s="331">
        <f t="shared" si="4"/>
        <v>59016026.093184002</v>
      </c>
      <c r="P13" s="331">
        <f t="shared" si="4"/>
        <v>92312104.636416018</v>
      </c>
      <c r="Q13" s="331">
        <f t="shared" si="4"/>
        <v>397725586.83187211</v>
      </c>
      <c r="R13" s="331">
        <f t="shared" si="4"/>
        <v>279051713.35948801</v>
      </c>
      <c r="S13" s="331">
        <f t="shared" si="4"/>
        <v>87476488.535808012</v>
      </c>
      <c r="T13" s="331">
        <f t="shared" si="4"/>
        <v>133162671.75494401</v>
      </c>
      <c r="U13" s="331">
        <f t="shared" si="4"/>
        <v>187001368.49894401</v>
      </c>
      <c r="V13" s="331">
        <f t="shared" si="4"/>
        <v>195906558.54873601</v>
      </c>
      <c r="W13" s="331">
        <f t="shared" si="4"/>
        <v>66374738.454528011</v>
      </c>
      <c r="X13" s="331">
        <f t="shared" si="4"/>
        <v>201445052.43916801</v>
      </c>
      <c r="Y13" s="331">
        <f t="shared" si="4"/>
        <v>212200233.85641602</v>
      </c>
      <c r="Z13" s="331">
        <f t="shared" si="4"/>
        <v>399459552.04742396</v>
      </c>
      <c r="AA13" s="331">
        <f t="shared" si="4"/>
        <v>228988967.87750399</v>
      </c>
      <c r="AB13" s="331">
        <f t="shared" si="4"/>
        <v>141671691.59808001</v>
      </c>
      <c r="AC13" s="331">
        <f t="shared" si="4"/>
        <v>278768208.86553603</v>
      </c>
      <c r="AD13" s="331">
        <f t="shared" si="4"/>
        <v>47470432.500480004</v>
      </c>
      <c r="AE13" s="331">
        <f t="shared" si="4"/>
        <v>76699128.219840005</v>
      </c>
      <c r="AF13" s="331">
        <f t="shared" si="4"/>
        <v>181191988.71244797</v>
      </c>
      <c r="AG13" s="331">
        <f t="shared" si="4"/>
        <v>59567996.966975994</v>
      </c>
      <c r="AH13" s="331">
        <f t="shared" si="4"/>
        <v>304769135.52451199</v>
      </c>
      <c r="AI13" s="331">
        <f t="shared" si="4"/>
        <v>81597699.323711991</v>
      </c>
      <c r="AJ13" s="331">
        <f t="shared" si="4"/>
        <v>672738354.41510415</v>
      </c>
      <c r="AK13" s="331">
        <f t="shared" si="4"/>
        <v>424772374.95369595</v>
      </c>
      <c r="AL13" s="331">
        <f t="shared" si="4"/>
        <v>21992117.777280003</v>
      </c>
      <c r="AM13" s="331">
        <f t="shared" si="4"/>
        <v>466767072.29356802</v>
      </c>
      <c r="AN13" s="331">
        <f t="shared" si="4"/>
        <v>234072702.15513602</v>
      </c>
      <c r="AO13" s="331">
        <f t="shared" si="4"/>
        <v>174853110.76627201</v>
      </c>
      <c r="AP13" s="331">
        <f t="shared" si="4"/>
        <v>424462777.98758405</v>
      </c>
      <c r="AQ13" s="331">
        <f t="shared" si="4"/>
        <v>39992999.688192002</v>
      </c>
      <c r="AR13" s="331">
        <f t="shared" si="4"/>
        <v>177891701.96889603</v>
      </c>
      <c r="AS13" s="331">
        <f t="shared" si="4"/>
        <v>32329886.253984001</v>
      </c>
      <c r="AT13" s="331">
        <f t="shared" si="4"/>
        <v>327349412.23977602</v>
      </c>
      <c r="AU13" s="331">
        <f t="shared" si="4"/>
        <v>975677525.60025597</v>
      </c>
      <c r="AV13" s="331">
        <f t="shared" si="4"/>
        <v>123867381.70070402</v>
      </c>
      <c r="AW13" s="331">
        <f t="shared" si="4"/>
        <v>26832734.687232003</v>
      </c>
      <c r="AX13" s="331">
        <f t="shared" si="4"/>
        <v>366337347.98131198</v>
      </c>
      <c r="AY13" s="331">
        <f t="shared" si="4"/>
        <v>332777391.09859198</v>
      </c>
      <c r="AZ13" s="331">
        <f t="shared" si="4"/>
        <v>114736951.819776</v>
      </c>
      <c r="BA13" s="331">
        <f t="shared" si="4"/>
        <v>196969850.282592</v>
      </c>
      <c r="BB13" s="331">
        <f t="shared" si="4"/>
        <v>32394738.567167997</v>
      </c>
      <c r="BC13" s="88"/>
    </row>
    <row r="14" spans="1:55" x14ac:dyDescent="0.2">
      <c r="A14" s="86">
        <v>11</v>
      </c>
      <c r="B14" s="88" t="s">
        <v>575</v>
      </c>
      <c r="C14" s="86"/>
      <c r="D14" s="86">
        <f>5.78*365</f>
        <v>2109.7000000000003</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123"/>
      <c r="AX14" s="86"/>
      <c r="AY14" s="86"/>
      <c r="AZ14" s="86"/>
      <c r="BA14" s="86"/>
      <c r="BB14" s="86"/>
      <c r="BC14" s="88"/>
    </row>
    <row r="15" spans="1:55" x14ac:dyDescent="0.2">
      <c r="A15" s="86">
        <v>12</v>
      </c>
      <c r="B15" s="330" t="s">
        <v>655</v>
      </c>
      <c r="C15" s="86"/>
      <c r="D15" s="86"/>
      <c r="E15" s="242">
        <v>561458</v>
      </c>
      <c r="F15" s="242">
        <v>88484</v>
      </c>
      <c r="G15" s="242">
        <v>608218</v>
      </c>
      <c r="H15" s="242">
        <v>334604</v>
      </c>
      <c r="I15" s="242">
        <v>4117036</v>
      </c>
      <c r="J15" s="242">
        <v>543588</v>
      </c>
      <c r="K15" s="242">
        <v>419285</v>
      </c>
      <c r="L15" s="242">
        <v>95175</v>
      </c>
      <c r="M15" s="242">
        <v>1779586</v>
      </c>
      <c r="N15" s="242">
        <v>1051302</v>
      </c>
      <c r="O15" s="242">
        <v>129322</v>
      </c>
      <c r="P15" s="242">
        <v>170463</v>
      </c>
      <c r="Q15" s="242">
        <v>1514561</v>
      </c>
      <c r="R15" s="242">
        <v>767836</v>
      </c>
      <c r="S15" s="242">
        <v>361153</v>
      </c>
      <c r="T15" s="242">
        <v>345091</v>
      </c>
      <c r="U15" s="242">
        <v>516344</v>
      </c>
      <c r="V15" s="242">
        <v>572053</v>
      </c>
      <c r="W15" s="242">
        <v>157325</v>
      </c>
      <c r="X15" s="242">
        <v>662172</v>
      </c>
      <c r="Y15" s="242">
        <v>748865</v>
      </c>
      <c r="Z15" s="242">
        <v>1236713</v>
      </c>
      <c r="AA15" s="242">
        <v>626291</v>
      </c>
      <c r="AB15" s="242">
        <v>363416</v>
      </c>
      <c r="AC15" s="242">
        <v>699779</v>
      </c>
      <c r="AD15" s="242">
        <v>111807</v>
      </c>
      <c r="AE15" s="242">
        <v>217636</v>
      </c>
      <c r="AF15" s="242">
        <v>238846</v>
      </c>
      <c r="AG15" s="242">
        <v>158410</v>
      </c>
      <c r="AH15" s="242">
        <v>1025556</v>
      </c>
      <c r="AI15" s="242">
        <v>235030</v>
      </c>
      <c r="AJ15" s="242">
        <v>2231381</v>
      </c>
      <c r="AK15" s="242">
        <v>995648</v>
      </c>
      <c r="AL15" s="242">
        <v>80453</v>
      </c>
      <c r="AM15" s="242">
        <v>1409912</v>
      </c>
      <c r="AN15" s="242">
        <v>434793</v>
      </c>
      <c r="AO15" s="242">
        <v>410803</v>
      </c>
      <c r="AP15" s="242">
        <v>1430808</v>
      </c>
      <c r="AQ15" s="242">
        <v>124867</v>
      </c>
      <c r="AR15" s="242">
        <v>495276</v>
      </c>
      <c r="AS15" s="242">
        <v>95180</v>
      </c>
      <c r="AT15" s="242">
        <v>707305</v>
      </c>
      <c r="AU15" s="242">
        <v>2723330</v>
      </c>
      <c r="AV15" s="242">
        <v>299746</v>
      </c>
      <c r="AW15" s="242">
        <v>76409</v>
      </c>
      <c r="AX15" s="242">
        <v>881893</v>
      </c>
      <c r="AY15" s="242">
        <v>742481</v>
      </c>
      <c r="AZ15" s="242">
        <v>213072</v>
      </c>
      <c r="BA15" s="242">
        <v>665239</v>
      </c>
      <c r="BB15" s="242">
        <v>63263</v>
      </c>
      <c r="BC15" s="88"/>
    </row>
    <row r="16" spans="1:55" x14ac:dyDescent="0.2">
      <c r="A16" s="86">
        <v>13</v>
      </c>
      <c r="B16" s="392" t="s">
        <v>654</v>
      </c>
      <c r="C16" s="86"/>
      <c r="D16" s="86"/>
      <c r="E16" s="303">
        <v>0.89834999999999998</v>
      </c>
      <c r="F16" s="71">
        <f>E16</f>
        <v>0.89834999999999998</v>
      </c>
      <c r="G16" s="71">
        <f t="shared" ref="G16:L16" si="5">F16</f>
        <v>0.89834999999999998</v>
      </c>
      <c r="H16" s="71">
        <f t="shared" si="5"/>
        <v>0.89834999999999998</v>
      </c>
      <c r="I16" s="71">
        <f t="shared" si="5"/>
        <v>0.89834999999999998</v>
      </c>
      <c r="J16" s="71">
        <f t="shared" si="5"/>
        <v>0.89834999999999998</v>
      </c>
      <c r="K16" s="71">
        <f t="shared" si="5"/>
        <v>0.89834999999999998</v>
      </c>
      <c r="L16" s="71">
        <f t="shared" si="5"/>
        <v>0.89834999999999998</v>
      </c>
      <c r="M16" s="71">
        <f t="shared" ref="M16" si="6">L16</f>
        <v>0.89834999999999998</v>
      </c>
      <c r="N16" s="71">
        <f t="shared" ref="N16" si="7">M16</f>
        <v>0.89834999999999998</v>
      </c>
      <c r="O16" s="71">
        <f t="shared" ref="O16" si="8">N16</f>
        <v>0.89834999999999998</v>
      </c>
      <c r="P16" s="71">
        <f t="shared" ref="P16" si="9">O16</f>
        <v>0.89834999999999998</v>
      </c>
      <c r="Q16" s="71">
        <f t="shared" ref="Q16" si="10">P16</f>
        <v>0.89834999999999998</v>
      </c>
      <c r="R16" s="71">
        <f t="shared" ref="R16" si="11">Q16</f>
        <v>0.89834999999999998</v>
      </c>
      <c r="S16" s="71">
        <f t="shared" ref="S16" si="12">R16</f>
        <v>0.89834999999999998</v>
      </c>
      <c r="T16" s="71">
        <f t="shared" ref="T16" si="13">S16</f>
        <v>0.89834999999999998</v>
      </c>
      <c r="U16" s="71">
        <f t="shared" ref="U16" si="14">T16</f>
        <v>0.89834999999999998</v>
      </c>
      <c r="V16" s="71">
        <f t="shared" ref="V16" si="15">U16</f>
        <v>0.89834999999999998</v>
      </c>
      <c r="W16" s="71">
        <f t="shared" ref="W16" si="16">V16</f>
        <v>0.89834999999999998</v>
      </c>
      <c r="X16" s="71">
        <f t="shared" ref="X16" si="17">W16</f>
        <v>0.89834999999999998</v>
      </c>
      <c r="Y16" s="71">
        <f t="shared" ref="Y16" si="18">X16</f>
        <v>0.89834999999999998</v>
      </c>
      <c r="Z16" s="71">
        <f t="shared" ref="Z16" si="19">Y16</f>
        <v>0.89834999999999998</v>
      </c>
      <c r="AA16" s="71">
        <f t="shared" ref="AA16" si="20">Z16</f>
        <v>0.89834999999999998</v>
      </c>
      <c r="AB16" s="71">
        <f t="shared" ref="AB16" si="21">AA16</f>
        <v>0.89834999999999998</v>
      </c>
      <c r="AC16" s="71">
        <f t="shared" ref="AC16" si="22">AB16</f>
        <v>0.89834999999999998</v>
      </c>
      <c r="AD16" s="71">
        <f t="shared" ref="AD16" si="23">AC16</f>
        <v>0.89834999999999998</v>
      </c>
      <c r="AE16" s="71">
        <f t="shared" ref="AE16" si="24">AD16</f>
        <v>0.89834999999999998</v>
      </c>
      <c r="AF16" s="71">
        <f t="shared" ref="AF16" si="25">AE16</f>
        <v>0.89834999999999998</v>
      </c>
      <c r="AG16" s="71">
        <f t="shared" ref="AG16" si="26">AF16</f>
        <v>0.89834999999999998</v>
      </c>
      <c r="AH16" s="71">
        <f t="shared" ref="AH16" si="27">AG16</f>
        <v>0.89834999999999998</v>
      </c>
      <c r="AI16" s="71">
        <f t="shared" ref="AI16" si="28">AH16</f>
        <v>0.89834999999999998</v>
      </c>
      <c r="AJ16" s="71">
        <f t="shared" ref="AJ16" si="29">AI16</f>
        <v>0.89834999999999998</v>
      </c>
      <c r="AK16" s="71">
        <f t="shared" ref="AK16" si="30">AJ16</f>
        <v>0.89834999999999998</v>
      </c>
      <c r="AL16" s="71">
        <f t="shared" ref="AL16" si="31">AK16</f>
        <v>0.89834999999999998</v>
      </c>
      <c r="AM16" s="71">
        <f t="shared" ref="AM16" si="32">AL16</f>
        <v>0.89834999999999998</v>
      </c>
      <c r="AN16" s="71">
        <f t="shared" ref="AN16" si="33">AM16</f>
        <v>0.89834999999999998</v>
      </c>
      <c r="AO16" s="71">
        <f t="shared" ref="AO16" si="34">AN16</f>
        <v>0.89834999999999998</v>
      </c>
      <c r="AP16" s="71">
        <f t="shared" ref="AP16" si="35">AO16</f>
        <v>0.89834999999999998</v>
      </c>
      <c r="AQ16" s="71">
        <f t="shared" ref="AQ16" si="36">AP16</f>
        <v>0.89834999999999998</v>
      </c>
      <c r="AR16" s="71">
        <f t="shared" ref="AR16" si="37">AQ16</f>
        <v>0.89834999999999998</v>
      </c>
      <c r="AS16" s="71">
        <f t="shared" ref="AS16" si="38">AR16</f>
        <v>0.89834999999999998</v>
      </c>
      <c r="AT16" s="71">
        <f t="shared" ref="AT16" si="39">AS16</f>
        <v>0.89834999999999998</v>
      </c>
      <c r="AU16" s="71">
        <f t="shared" ref="AU16" si="40">AT16</f>
        <v>0.89834999999999998</v>
      </c>
      <c r="AV16" s="71">
        <f t="shared" ref="AV16" si="41">AU16</f>
        <v>0.89834999999999998</v>
      </c>
      <c r="AW16" s="71">
        <f t="shared" ref="AW16" si="42">AV16</f>
        <v>0.89834999999999998</v>
      </c>
      <c r="AX16" s="71">
        <f t="shared" ref="AX16" si="43">AW16</f>
        <v>0.89834999999999998</v>
      </c>
      <c r="AY16" s="71">
        <f t="shared" ref="AY16" si="44">AX16</f>
        <v>0.89834999999999998</v>
      </c>
      <c r="AZ16" s="71">
        <f t="shared" ref="AZ16" si="45">AY16</f>
        <v>0.89834999999999998</v>
      </c>
      <c r="BA16" s="71">
        <f t="shared" ref="BA16" si="46">AZ16</f>
        <v>0.89834999999999998</v>
      </c>
      <c r="BB16" s="71">
        <f t="shared" ref="BB16" si="47">BA16</f>
        <v>0.89834999999999998</v>
      </c>
      <c r="BC16" s="88"/>
    </row>
    <row r="17" spans="1:55" x14ac:dyDescent="0.2">
      <c r="A17" s="86">
        <v>14</v>
      </c>
      <c r="B17" s="88" t="s">
        <v>656</v>
      </c>
      <c r="C17" s="86"/>
      <c r="D17" s="86"/>
      <c r="E17" s="333">
        <f>E15*E16</f>
        <v>504385.79430000001</v>
      </c>
      <c r="F17" s="333">
        <f t="shared" ref="F17:BB17" si="48">F15*F16</f>
        <v>79489.6014</v>
      </c>
      <c r="G17" s="333">
        <f t="shared" si="48"/>
        <v>546392.64029999997</v>
      </c>
      <c r="H17" s="333">
        <f t="shared" si="48"/>
        <v>300591.50339999999</v>
      </c>
      <c r="I17" s="333">
        <f t="shared" si="48"/>
        <v>3698539.2905999999</v>
      </c>
      <c r="J17" s="333">
        <f t="shared" si="48"/>
        <v>488332.27980000002</v>
      </c>
      <c r="K17" s="333">
        <f t="shared" si="48"/>
        <v>376664.67975000001</v>
      </c>
      <c r="L17" s="333">
        <f t="shared" si="48"/>
        <v>85500.461249999993</v>
      </c>
      <c r="M17" s="333">
        <f t="shared" si="48"/>
        <v>1598691.0830999999</v>
      </c>
      <c r="N17" s="333">
        <f t="shared" si="48"/>
        <v>944437.15169999993</v>
      </c>
      <c r="O17" s="333">
        <f t="shared" si="48"/>
        <v>116176.41869999999</v>
      </c>
      <c r="P17" s="333">
        <f t="shared" si="48"/>
        <v>153135.43604999999</v>
      </c>
      <c r="Q17" s="333">
        <f t="shared" si="48"/>
        <v>1360605.8743499999</v>
      </c>
      <c r="R17" s="333">
        <f t="shared" si="48"/>
        <v>689785.4706</v>
      </c>
      <c r="S17" s="333">
        <f t="shared" si="48"/>
        <v>324441.79755000002</v>
      </c>
      <c r="T17" s="333">
        <f t="shared" si="48"/>
        <v>310012.49985000002</v>
      </c>
      <c r="U17" s="333">
        <f t="shared" si="48"/>
        <v>463857.6324</v>
      </c>
      <c r="V17" s="333">
        <f t="shared" si="48"/>
        <v>513903.81254999997</v>
      </c>
      <c r="W17" s="333">
        <f t="shared" si="48"/>
        <v>141332.91375000001</v>
      </c>
      <c r="X17" s="333">
        <f t="shared" si="48"/>
        <v>594862.21620000002</v>
      </c>
      <c r="Y17" s="333">
        <f t="shared" si="48"/>
        <v>672742.87274999998</v>
      </c>
      <c r="Z17" s="333">
        <f t="shared" si="48"/>
        <v>1111001.1235499999</v>
      </c>
      <c r="AA17" s="333">
        <f t="shared" si="48"/>
        <v>562628.51985000004</v>
      </c>
      <c r="AB17" s="333">
        <f t="shared" si="48"/>
        <v>326474.76360000001</v>
      </c>
      <c r="AC17" s="333">
        <f t="shared" si="48"/>
        <v>628646.46464999998</v>
      </c>
      <c r="AD17" s="333">
        <f t="shared" si="48"/>
        <v>100441.81844999999</v>
      </c>
      <c r="AE17" s="333">
        <f t="shared" si="48"/>
        <v>195513.30059999999</v>
      </c>
      <c r="AF17" s="333">
        <f t="shared" si="48"/>
        <v>214567.30410000001</v>
      </c>
      <c r="AG17" s="333">
        <f t="shared" si="48"/>
        <v>142307.62349999999</v>
      </c>
      <c r="AH17" s="333">
        <f t="shared" si="48"/>
        <v>921308.23259999999</v>
      </c>
      <c r="AI17" s="333">
        <f t="shared" si="48"/>
        <v>211139.20050000001</v>
      </c>
      <c r="AJ17" s="333">
        <f t="shared" si="48"/>
        <v>2004561.1213499999</v>
      </c>
      <c r="AK17" s="333">
        <f t="shared" si="48"/>
        <v>894440.38079999993</v>
      </c>
      <c r="AL17" s="333">
        <f t="shared" si="48"/>
        <v>72274.952550000002</v>
      </c>
      <c r="AM17" s="333">
        <f t="shared" si="48"/>
        <v>1266594.4452</v>
      </c>
      <c r="AN17" s="333">
        <f t="shared" si="48"/>
        <v>390596.29154999997</v>
      </c>
      <c r="AO17" s="333">
        <f t="shared" si="48"/>
        <v>369044.87504999997</v>
      </c>
      <c r="AP17" s="333">
        <f t="shared" si="48"/>
        <v>1285366.3668</v>
      </c>
      <c r="AQ17" s="333">
        <f t="shared" si="48"/>
        <v>112174.26944999999</v>
      </c>
      <c r="AR17" s="333">
        <f t="shared" si="48"/>
        <v>444931.19459999999</v>
      </c>
      <c r="AS17" s="333">
        <f t="shared" si="48"/>
        <v>85504.952999999994</v>
      </c>
      <c r="AT17" s="333">
        <f t="shared" si="48"/>
        <v>635407.44675</v>
      </c>
      <c r="AU17" s="333">
        <f t="shared" si="48"/>
        <v>2446503.5055</v>
      </c>
      <c r="AV17" s="333">
        <f t="shared" si="48"/>
        <v>269276.81910000002</v>
      </c>
      <c r="AW17" s="333">
        <f t="shared" si="48"/>
        <v>68642.025150000001</v>
      </c>
      <c r="AX17" s="333">
        <f t="shared" si="48"/>
        <v>792248.57655</v>
      </c>
      <c r="AY17" s="333">
        <f t="shared" si="48"/>
        <v>667007.80634999997</v>
      </c>
      <c r="AZ17" s="333">
        <f t="shared" si="48"/>
        <v>191413.23120000001</v>
      </c>
      <c r="BA17" s="333">
        <f t="shared" si="48"/>
        <v>597617.45565000002</v>
      </c>
      <c r="BB17" s="333">
        <f t="shared" si="48"/>
        <v>56832.316050000001</v>
      </c>
      <c r="BC17" s="88"/>
    </row>
    <row r="18" spans="1:55" x14ac:dyDescent="0.2">
      <c r="A18" s="86">
        <v>15</v>
      </c>
      <c r="B18" s="88" t="s">
        <v>576</v>
      </c>
      <c r="C18" s="86"/>
      <c r="D18" s="86"/>
      <c r="E18" s="333">
        <f>E17*$D14</f>
        <v>1064102710.2347101</v>
      </c>
      <c r="F18" s="333">
        <f>F17*$D14</f>
        <v>167699212.07358003</v>
      </c>
      <c r="G18" s="333">
        <f t="shared" ref="G18:BB18" si="49">G17*$D14</f>
        <v>1152724553.2409101</v>
      </c>
      <c r="H18" s="333">
        <f t="shared" si="49"/>
        <v>634157894.72298002</v>
      </c>
      <c r="I18" s="333">
        <f t="shared" si="49"/>
        <v>7802808341.3788214</v>
      </c>
      <c r="J18" s="333">
        <f t="shared" si="49"/>
        <v>1030234610.6940602</v>
      </c>
      <c r="K18" s="333">
        <f t="shared" si="49"/>
        <v>794649474.8685751</v>
      </c>
      <c r="L18" s="333">
        <f t="shared" si="49"/>
        <v>180380323.099125</v>
      </c>
      <c r="M18" s="333">
        <f t="shared" si="49"/>
        <v>3372758578.0160704</v>
      </c>
      <c r="N18" s="333">
        <f t="shared" si="49"/>
        <v>1992479058.9414902</v>
      </c>
      <c r="O18" s="333">
        <f t="shared" si="49"/>
        <v>245097390.53139001</v>
      </c>
      <c r="P18" s="333">
        <f t="shared" si="49"/>
        <v>323069829.43468499</v>
      </c>
      <c r="Q18" s="333">
        <f t="shared" si="49"/>
        <v>2870470213.1161952</v>
      </c>
      <c r="R18" s="333">
        <f t="shared" si="49"/>
        <v>1455240407.3248203</v>
      </c>
      <c r="S18" s="333">
        <f t="shared" si="49"/>
        <v>684474860.29123509</v>
      </c>
      <c r="T18" s="333">
        <f t="shared" si="49"/>
        <v>654033370.93354511</v>
      </c>
      <c r="U18" s="333">
        <f t="shared" si="49"/>
        <v>978600447.07428014</v>
      </c>
      <c r="V18" s="333">
        <f t="shared" si="49"/>
        <v>1084182873.336735</v>
      </c>
      <c r="W18" s="333">
        <f t="shared" si="49"/>
        <v>298170048.13837504</v>
      </c>
      <c r="X18" s="333">
        <f t="shared" si="49"/>
        <v>1254980817.5171402</v>
      </c>
      <c r="Y18" s="333">
        <f t="shared" si="49"/>
        <v>1419285638.6406751</v>
      </c>
      <c r="Z18" s="333">
        <f t="shared" si="49"/>
        <v>2343879070.353435</v>
      </c>
      <c r="AA18" s="333">
        <f t="shared" si="49"/>
        <v>1186977388.3275452</v>
      </c>
      <c r="AB18" s="333">
        <f t="shared" si="49"/>
        <v>688763808.76692009</v>
      </c>
      <c r="AC18" s="333">
        <f t="shared" si="49"/>
        <v>1326255446.472105</v>
      </c>
      <c r="AD18" s="333">
        <f t="shared" si="49"/>
        <v>211902104.38396502</v>
      </c>
      <c r="AE18" s="333">
        <f t="shared" si="49"/>
        <v>412474410.27582002</v>
      </c>
      <c r="AF18" s="333">
        <f t="shared" si="49"/>
        <v>452672641.45977008</v>
      </c>
      <c r="AG18" s="333">
        <f t="shared" si="49"/>
        <v>300226393.29795003</v>
      </c>
      <c r="AH18" s="333">
        <f t="shared" si="49"/>
        <v>1943683978.3162203</v>
      </c>
      <c r="AI18" s="333">
        <f t="shared" si="49"/>
        <v>445440371.29485005</v>
      </c>
      <c r="AJ18" s="333">
        <f t="shared" si="49"/>
        <v>4229022597.7120953</v>
      </c>
      <c r="AK18" s="333">
        <f t="shared" si="49"/>
        <v>1887000871.37376</v>
      </c>
      <c r="AL18" s="333">
        <f t="shared" si="49"/>
        <v>152478467.39473504</v>
      </c>
      <c r="AM18" s="333">
        <f t="shared" si="49"/>
        <v>2672134301.0384402</v>
      </c>
      <c r="AN18" s="333">
        <f t="shared" si="49"/>
        <v>824040996.28303504</v>
      </c>
      <c r="AO18" s="333">
        <f t="shared" si="49"/>
        <v>778573972.89298499</v>
      </c>
      <c r="AP18" s="333">
        <f t="shared" si="49"/>
        <v>2711737424.0379601</v>
      </c>
      <c r="AQ18" s="333">
        <f t="shared" si="49"/>
        <v>236654056.25866503</v>
      </c>
      <c r="AR18" s="333">
        <f t="shared" si="49"/>
        <v>938671341.24762011</v>
      </c>
      <c r="AS18" s="333">
        <f t="shared" si="49"/>
        <v>180389799.3441</v>
      </c>
      <c r="AT18" s="333">
        <f t="shared" si="49"/>
        <v>1340519090.4084752</v>
      </c>
      <c r="AU18" s="333">
        <f t="shared" si="49"/>
        <v>5161388445.5533504</v>
      </c>
      <c r="AV18" s="333">
        <f t="shared" si="49"/>
        <v>568093305.25527012</v>
      </c>
      <c r="AW18" s="333">
        <f t="shared" si="49"/>
        <v>144814080.45895502</v>
      </c>
      <c r="AX18" s="333">
        <f t="shared" si="49"/>
        <v>1671406821.9475353</v>
      </c>
      <c r="AY18" s="333">
        <f t="shared" si="49"/>
        <v>1407186369.0565951</v>
      </c>
      <c r="AZ18" s="333">
        <f t="shared" si="49"/>
        <v>403824493.86264008</v>
      </c>
      <c r="BA18" s="333">
        <f t="shared" si="49"/>
        <v>1260793546.1848052</v>
      </c>
      <c r="BB18" s="333">
        <f t="shared" si="49"/>
        <v>119899137.17068502</v>
      </c>
      <c r="BC18" s="88"/>
    </row>
    <row r="19" spans="1:55" x14ac:dyDescent="0.2">
      <c r="A19" s="86">
        <v>16</v>
      </c>
      <c r="B19" s="88" t="s">
        <v>577</v>
      </c>
      <c r="C19" s="86"/>
      <c r="D19" s="227">
        <v>0.56000000000000005</v>
      </c>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123"/>
      <c r="AX19" s="86"/>
      <c r="AY19" s="86"/>
      <c r="AZ19" s="86"/>
      <c r="BA19" s="86"/>
      <c r="BB19" s="86"/>
      <c r="BC19" s="88"/>
    </row>
    <row r="20" spans="1:55" x14ac:dyDescent="0.2">
      <c r="A20" s="86">
        <v>17</v>
      </c>
      <c r="B20" s="88" t="s">
        <v>1011</v>
      </c>
      <c r="C20" s="453">
        <f>D20/1000000000/$D$4</f>
        <v>0.54426246611591256</v>
      </c>
      <c r="D20" s="452">
        <f>SUM(E20:BB20)</f>
        <v>36657883015.062225</v>
      </c>
      <c r="E20" s="333">
        <f>E18*$D19</f>
        <v>595897517.73143768</v>
      </c>
      <c r="F20" s="333">
        <f>F18*$D19</f>
        <v>93911558.761204824</v>
      </c>
      <c r="G20" s="333">
        <f t="shared" ref="G20:BB20" si="50">G18*$D19</f>
        <v>645525749.8149097</v>
      </c>
      <c r="H20" s="333">
        <f t="shared" si="50"/>
        <v>355128421.04486883</v>
      </c>
      <c r="I20" s="333">
        <f t="shared" si="50"/>
        <v>4369572671.1721401</v>
      </c>
      <c r="J20" s="333">
        <f t="shared" si="50"/>
        <v>576931381.98867381</v>
      </c>
      <c r="K20" s="333">
        <f t="shared" si="50"/>
        <v>445003705.92640209</v>
      </c>
      <c r="L20" s="333">
        <f t="shared" si="50"/>
        <v>101012980.93551001</v>
      </c>
      <c r="M20" s="333">
        <f t="shared" si="50"/>
        <v>1888744803.6889997</v>
      </c>
      <c r="N20" s="333">
        <f t="shared" si="50"/>
        <v>1115788273.0072346</v>
      </c>
      <c r="O20" s="333">
        <f t="shared" si="50"/>
        <v>137254538.69757843</v>
      </c>
      <c r="P20" s="333">
        <f t="shared" si="50"/>
        <v>180919104.48342362</v>
      </c>
      <c r="Q20" s="333">
        <f t="shared" si="50"/>
        <v>1607463319.3450694</v>
      </c>
      <c r="R20" s="333">
        <f t="shared" si="50"/>
        <v>814934628.10189939</v>
      </c>
      <c r="S20" s="333">
        <f t="shared" si="50"/>
        <v>383305921.76309168</v>
      </c>
      <c r="T20" s="333">
        <f t="shared" si="50"/>
        <v>366258687.72278529</v>
      </c>
      <c r="U20" s="333">
        <f t="shared" si="50"/>
        <v>548016250.36159694</v>
      </c>
      <c r="V20" s="333">
        <f t="shared" si="50"/>
        <v>607142409.06857169</v>
      </c>
      <c r="W20" s="333">
        <f t="shared" si="50"/>
        <v>166975226.95749003</v>
      </c>
      <c r="X20" s="333">
        <f t="shared" si="50"/>
        <v>702789257.80959857</v>
      </c>
      <c r="Y20" s="333">
        <f t="shared" si="50"/>
        <v>794799957.63877809</v>
      </c>
      <c r="Z20" s="333">
        <f t="shared" si="50"/>
        <v>1312572279.3979237</v>
      </c>
      <c r="AA20" s="333">
        <f t="shared" si="50"/>
        <v>664707337.4634254</v>
      </c>
      <c r="AB20" s="333">
        <f t="shared" si="50"/>
        <v>385707732.90947527</v>
      </c>
      <c r="AC20" s="333">
        <f t="shared" si="50"/>
        <v>742703050.0243789</v>
      </c>
      <c r="AD20" s="333">
        <f t="shared" si="50"/>
        <v>118665178.45502041</v>
      </c>
      <c r="AE20" s="333">
        <f t="shared" si="50"/>
        <v>230985669.75445923</v>
      </c>
      <c r="AF20" s="333">
        <f t="shared" si="50"/>
        <v>253496679.21747127</v>
      </c>
      <c r="AG20" s="333">
        <f t="shared" si="50"/>
        <v>168126780.24685204</v>
      </c>
      <c r="AH20" s="333">
        <f t="shared" si="50"/>
        <v>1088463027.8570836</v>
      </c>
      <c r="AI20" s="333">
        <f t="shared" si="50"/>
        <v>249446607.92511606</v>
      </c>
      <c r="AJ20" s="333">
        <f t="shared" si="50"/>
        <v>2368252654.7187734</v>
      </c>
      <c r="AK20" s="333">
        <f t="shared" si="50"/>
        <v>1056720487.9693056</v>
      </c>
      <c r="AL20" s="333">
        <f t="shared" si="50"/>
        <v>85387941.741051629</v>
      </c>
      <c r="AM20" s="333">
        <f t="shared" si="50"/>
        <v>1496395208.5815268</v>
      </c>
      <c r="AN20" s="333">
        <f t="shared" si="50"/>
        <v>461462957.91849965</v>
      </c>
      <c r="AO20" s="333">
        <f t="shared" si="50"/>
        <v>436001424.82007164</v>
      </c>
      <c r="AP20" s="333">
        <f t="shared" si="50"/>
        <v>1518572957.4612577</v>
      </c>
      <c r="AQ20" s="333">
        <f t="shared" si="50"/>
        <v>132526271.50485243</v>
      </c>
      <c r="AR20" s="333">
        <f t="shared" si="50"/>
        <v>525655951.09866732</v>
      </c>
      <c r="AS20" s="333">
        <f t="shared" si="50"/>
        <v>101018287.632696</v>
      </c>
      <c r="AT20" s="333">
        <f t="shared" si="50"/>
        <v>750690690.62874615</v>
      </c>
      <c r="AU20" s="333">
        <f t="shared" si="50"/>
        <v>2890377529.5098767</v>
      </c>
      <c r="AV20" s="333">
        <f t="shared" si="50"/>
        <v>318132250.94295132</v>
      </c>
      <c r="AW20" s="333">
        <f t="shared" si="50"/>
        <v>81095885.057014823</v>
      </c>
      <c r="AX20" s="333">
        <f t="shared" si="50"/>
        <v>935987820.29061985</v>
      </c>
      <c r="AY20" s="333">
        <f t="shared" si="50"/>
        <v>788024366.67169333</v>
      </c>
      <c r="AZ20" s="333">
        <f t="shared" si="50"/>
        <v>226141716.56307846</v>
      </c>
      <c r="BA20" s="333">
        <f t="shared" si="50"/>
        <v>706044385.86349094</v>
      </c>
      <c r="BB20" s="333">
        <f t="shared" si="50"/>
        <v>67143516.815583616</v>
      </c>
      <c r="BC20" s="88"/>
    </row>
    <row r="21" spans="1:55" x14ac:dyDescent="0.2">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123"/>
      <c r="AX21" s="86"/>
      <c r="AY21" s="86"/>
      <c r="AZ21" s="86"/>
      <c r="BA21" s="86"/>
      <c r="BB21" s="86"/>
      <c r="BC21" s="88"/>
    </row>
    <row r="22" spans="1:55" x14ac:dyDescent="0.2">
      <c r="A22" s="86">
        <v>1</v>
      </c>
      <c r="B22" s="88" t="s">
        <v>662</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123"/>
      <c r="AX22" s="86"/>
      <c r="AY22" s="86"/>
      <c r="AZ22" s="86"/>
      <c r="BA22" s="86"/>
      <c r="BB22" s="86"/>
      <c r="BC22" s="88"/>
    </row>
    <row r="23" spans="1:55" x14ac:dyDescent="0.2">
      <c r="A23" s="86">
        <v>2</v>
      </c>
      <c r="B23" s="88" t="s">
        <v>661</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123"/>
      <c r="AX23" s="86"/>
      <c r="AY23" s="86"/>
      <c r="AZ23" s="86"/>
      <c r="BA23" s="86"/>
      <c r="BB23" s="86"/>
      <c r="BC23" s="88"/>
    </row>
    <row r="24" spans="1:55" x14ac:dyDescent="0.2">
      <c r="A24" s="86">
        <v>5</v>
      </c>
      <c r="B24" s="63" t="s">
        <v>646</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123"/>
      <c r="AX24" s="86"/>
      <c r="AY24" s="86"/>
      <c r="AZ24" s="86"/>
      <c r="BA24" s="86"/>
      <c r="BB24" s="86"/>
      <c r="BC24" s="88"/>
    </row>
    <row r="25" spans="1:55" x14ac:dyDescent="0.2">
      <c r="A25" s="86">
        <v>6</v>
      </c>
      <c r="B25" s="63" t="s">
        <v>572</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123"/>
      <c r="AX25" s="86"/>
      <c r="AY25" s="86"/>
      <c r="AZ25" s="86"/>
      <c r="BA25" s="86"/>
      <c r="BB25" s="86"/>
      <c r="BC25" s="88"/>
    </row>
    <row r="26" spans="1:55" x14ac:dyDescent="0.2">
      <c r="A26" s="86">
        <v>7</v>
      </c>
      <c r="B26" s="63" t="s">
        <v>647</v>
      </c>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123"/>
      <c r="AX26" s="86"/>
      <c r="AY26" s="86"/>
      <c r="AZ26" s="86"/>
      <c r="BA26" s="86"/>
      <c r="BB26" s="86"/>
      <c r="BC26" s="88"/>
    </row>
    <row r="27" spans="1:55" x14ac:dyDescent="0.2">
      <c r="A27" s="86">
        <v>8</v>
      </c>
      <c r="B27" s="63" t="s">
        <v>649</v>
      </c>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123"/>
      <c r="AX27" s="86"/>
      <c r="AY27" s="86"/>
      <c r="AZ27" s="86"/>
      <c r="BA27" s="86"/>
      <c r="BB27" s="86"/>
      <c r="BC27" s="88"/>
    </row>
    <row r="28" spans="1:55" x14ac:dyDescent="0.2">
      <c r="A28" s="86">
        <v>9</v>
      </c>
      <c r="B28" s="63" t="s">
        <v>572</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123"/>
      <c r="AX28" s="86"/>
      <c r="AY28" s="86"/>
      <c r="AZ28" s="86"/>
      <c r="BA28" s="86"/>
      <c r="BB28" s="86"/>
      <c r="BC28" s="88"/>
    </row>
    <row r="29" spans="1:55" x14ac:dyDescent="0.2">
      <c r="A29" s="86">
        <v>10</v>
      </c>
      <c r="B29" s="63" t="s">
        <v>704</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123"/>
      <c r="AX29" s="86"/>
      <c r="AY29" s="86"/>
      <c r="AZ29" s="86"/>
      <c r="BA29" s="86"/>
      <c r="BB29" s="86"/>
      <c r="BC29" s="88"/>
    </row>
    <row r="30" spans="1:55" x14ac:dyDescent="0.2">
      <c r="A30" s="86">
        <v>11</v>
      </c>
      <c r="B30" s="63" t="s">
        <v>703</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123"/>
      <c r="AX30" s="86"/>
      <c r="AY30" s="86"/>
      <c r="AZ30" s="86"/>
      <c r="BA30" s="86"/>
      <c r="BB30" s="86"/>
      <c r="BC30" s="88"/>
    </row>
    <row r="31" spans="1:55" x14ac:dyDescent="0.2">
      <c r="A31" s="86">
        <v>12</v>
      </c>
      <c r="B31" t="s">
        <v>653</v>
      </c>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123"/>
      <c r="AX31" s="86"/>
      <c r="AY31" s="86"/>
      <c r="AZ31" s="86"/>
      <c r="BA31" s="86"/>
      <c r="BB31" s="86"/>
      <c r="BC31" s="88"/>
    </row>
    <row r="32" spans="1:55" x14ac:dyDescent="0.2">
      <c r="A32" s="86">
        <v>13</v>
      </c>
      <c r="B32" s="63" t="s">
        <v>657</v>
      </c>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123"/>
      <c r="AX32" s="86"/>
      <c r="AY32" s="86"/>
      <c r="AZ32" s="86"/>
      <c r="BA32" s="86"/>
      <c r="BB32" s="86"/>
      <c r="BC32" s="88"/>
    </row>
    <row r="33" spans="1:55" x14ac:dyDescent="0.2">
      <c r="A33" s="86">
        <v>14</v>
      </c>
      <c r="B33" s="63" t="s">
        <v>658</v>
      </c>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123"/>
      <c r="AX33" s="86"/>
      <c r="AY33" s="86"/>
      <c r="AZ33" s="86"/>
      <c r="BA33" s="86"/>
      <c r="BB33" s="86"/>
      <c r="BC33" s="88"/>
    </row>
    <row r="34" spans="1:55" x14ac:dyDescent="0.2">
      <c r="A34" s="86">
        <v>15</v>
      </c>
      <c r="B34" s="63" t="s">
        <v>659</v>
      </c>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123"/>
      <c r="AX34" s="86"/>
      <c r="AY34" s="86"/>
      <c r="AZ34" s="86"/>
      <c r="BA34" s="86"/>
      <c r="BB34" s="86"/>
      <c r="BC34" s="88"/>
    </row>
    <row r="35" spans="1:55" x14ac:dyDescent="0.2">
      <c r="A35" s="86">
        <v>16</v>
      </c>
      <c r="B35" s="63" t="s">
        <v>452</v>
      </c>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123"/>
      <c r="AX35" s="86"/>
      <c r="AY35" s="86"/>
      <c r="AZ35" s="86"/>
      <c r="BA35" s="86"/>
      <c r="BB35" s="86"/>
      <c r="BC35" s="88"/>
    </row>
    <row r="36" spans="1:55" x14ac:dyDescent="0.2">
      <c r="A36" s="86"/>
      <c r="B36" s="63"/>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123"/>
      <c r="AX36" s="86"/>
      <c r="AY36" s="86"/>
      <c r="AZ36" s="86"/>
      <c r="BA36" s="86"/>
      <c r="BB36" s="86"/>
      <c r="BC36" s="88"/>
    </row>
    <row r="37" spans="1:55" x14ac:dyDescent="0.2">
      <c r="A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123"/>
      <c r="AX37" s="86"/>
      <c r="AY37" s="86"/>
      <c r="AZ37" s="86"/>
      <c r="BA37" s="86"/>
      <c r="BB37" s="86"/>
      <c r="BC37" s="88"/>
    </row>
    <row r="38" spans="1:55" x14ac:dyDescent="0.2">
      <c r="A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123"/>
      <c r="AX38" s="86"/>
      <c r="AY38" s="86"/>
      <c r="AZ38" s="86"/>
      <c r="BA38" s="86"/>
      <c r="BB38" s="86"/>
      <c r="BC38" s="88"/>
    </row>
    <row r="39" spans="1:55" x14ac:dyDescent="0.2">
      <c r="A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123"/>
      <c r="AX39" s="86"/>
      <c r="AY39" s="86"/>
      <c r="AZ39" s="86"/>
      <c r="BA39" s="86"/>
      <c r="BB39" s="86"/>
      <c r="BC39" s="88"/>
    </row>
    <row r="40" spans="1:55" x14ac:dyDescent="0.2">
      <c r="A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123"/>
      <c r="AX40" s="86"/>
      <c r="AY40" s="86"/>
      <c r="AZ40" s="86"/>
      <c r="BA40" s="86"/>
      <c r="BB40" s="86"/>
      <c r="BC40" s="88"/>
    </row>
    <row r="41" spans="1:55" x14ac:dyDescent="0.2">
      <c r="A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123"/>
      <c r="AX41" s="86"/>
      <c r="AY41" s="86"/>
      <c r="AZ41" s="86"/>
      <c r="BA41" s="86"/>
      <c r="BB41" s="86"/>
      <c r="BC41" s="88"/>
    </row>
    <row r="42" spans="1:55" x14ac:dyDescent="0.2">
      <c r="A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123"/>
      <c r="AX42" s="86"/>
      <c r="AY42" s="86"/>
      <c r="AZ42" s="86"/>
      <c r="BA42" s="86"/>
      <c r="BB42" s="86"/>
      <c r="BC42" s="88"/>
    </row>
    <row r="43" spans="1:55" x14ac:dyDescent="0.2">
      <c r="A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123"/>
      <c r="AX43" s="86"/>
      <c r="AY43" s="86"/>
      <c r="AZ43" s="86"/>
      <c r="BA43" s="86"/>
      <c r="BB43" s="86"/>
      <c r="BC43" s="88"/>
    </row>
    <row r="44" spans="1:55" x14ac:dyDescent="0.2">
      <c r="A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123"/>
      <c r="AX44" s="86"/>
      <c r="AY44" s="86"/>
      <c r="AZ44" s="86"/>
      <c r="BA44" s="86"/>
      <c r="BB44" s="86"/>
      <c r="BC44" s="88"/>
    </row>
    <row r="45" spans="1:55" x14ac:dyDescent="0.2">
      <c r="A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123"/>
      <c r="AX45" s="86"/>
      <c r="AY45" s="86"/>
      <c r="AZ45" s="86"/>
      <c r="BA45" s="86"/>
      <c r="BB45" s="86"/>
      <c r="BC45" s="88"/>
    </row>
    <row r="46" spans="1:55" x14ac:dyDescent="0.2">
      <c r="A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123"/>
      <c r="AX46" s="86"/>
      <c r="AY46" s="86"/>
      <c r="AZ46" s="86"/>
      <c r="BA46" s="86"/>
      <c r="BB46" s="86"/>
      <c r="BC46" s="88"/>
    </row>
    <row r="47" spans="1:55" x14ac:dyDescent="0.2">
      <c r="A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123"/>
      <c r="AX47" s="86"/>
      <c r="AY47" s="86"/>
      <c r="AZ47" s="86"/>
      <c r="BA47" s="86"/>
      <c r="BB47" s="86"/>
      <c r="BC47" s="88"/>
    </row>
    <row r="48" spans="1:55" x14ac:dyDescent="0.2">
      <c r="A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123"/>
      <c r="AX48" s="86"/>
      <c r="AY48" s="86"/>
      <c r="AZ48" s="86"/>
      <c r="BA48" s="86"/>
      <c r="BB48" s="86"/>
      <c r="BC48" s="88"/>
    </row>
    <row r="49" spans="1:55" x14ac:dyDescent="0.2">
      <c r="A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123"/>
      <c r="AX49" s="86"/>
      <c r="AY49" s="86"/>
      <c r="AZ49" s="86"/>
      <c r="BA49" s="86"/>
      <c r="BB49" s="86"/>
      <c r="BC49" s="88"/>
    </row>
    <row r="50" spans="1:55" x14ac:dyDescent="0.2">
      <c r="A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123"/>
      <c r="AX50" s="86"/>
      <c r="AY50" s="86"/>
      <c r="AZ50" s="86"/>
      <c r="BA50" s="86"/>
      <c r="BB50" s="86"/>
      <c r="BC50" s="88"/>
    </row>
    <row r="51" spans="1:55" x14ac:dyDescent="0.2">
      <c r="A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123"/>
      <c r="AX51" s="86"/>
      <c r="AY51" s="86"/>
      <c r="AZ51" s="86"/>
      <c r="BA51" s="86"/>
      <c r="BB51" s="86"/>
      <c r="BC51" s="88"/>
    </row>
    <row r="52" spans="1:55" x14ac:dyDescent="0.2">
      <c r="A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123"/>
      <c r="AX52" s="86"/>
      <c r="AY52" s="86"/>
      <c r="AZ52" s="86"/>
      <c r="BA52" s="86"/>
      <c r="BB52" s="86"/>
      <c r="BC52" s="88"/>
    </row>
    <row r="53" spans="1:55" x14ac:dyDescent="0.2">
      <c r="A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123"/>
      <c r="AX53" s="86"/>
      <c r="AY53" s="86"/>
      <c r="AZ53" s="86"/>
      <c r="BA53" s="86"/>
      <c r="BB53" s="86"/>
      <c r="BC53" s="88"/>
    </row>
    <row r="54" spans="1:55" x14ac:dyDescent="0.2">
      <c r="A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123"/>
      <c r="AX54" s="86"/>
      <c r="AY54" s="86"/>
      <c r="AZ54" s="86"/>
      <c r="BA54" s="86"/>
      <c r="BB54" s="86"/>
      <c r="BC54" s="88"/>
    </row>
    <row r="55" spans="1:55" x14ac:dyDescent="0.2">
      <c r="A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123"/>
      <c r="AX55" s="86"/>
      <c r="AY55" s="86"/>
      <c r="AZ55" s="86"/>
      <c r="BA55" s="86"/>
      <c r="BB55" s="86"/>
      <c r="BC55" s="88"/>
    </row>
    <row r="56" spans="1:55" x14ac:dyDescent="0.2">
      <c r="A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123"/>
      <c r="AX56" s="86"/>
      <c r="AY56" s="86"/>
      <c r="AZ56" s="86"/>
      <c r="BA56" s="86"/>
      <c r="BB56" s="86"/>
      <c r="BC56" s="88"/>
    </row>
    <row r="57" spans="1:55" x14ac:dyDescent="0.2">
      <c r="A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123"/>
      <c r="AX57" s="86"/>
      <c r="AY57" s="86"/>
      <c r="AZ57" s="86"/>
      <c r="BA57" s="86"/>
      <c r="BB57" s="86"/>
      <c r="BC57" s="88"/>
    </row>
    <row r="58" spans="1:55" x14ac:dyDescent="0.2">
      <c r="A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123"/>
      <c r="AX58" s="86"/>
      <c r="AY58" s="86"/>
      <c r="AZ58" s="86"/>
      <c r="BA58" s="86"/>
      <c r="BB58" s="86"/>
      <c r="BC58" s="88"/>
    </row>
    <row r="59" spans="1:55" x14ac:dyDescent="0.2">
      <c r="A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123"/>
      <c r="AX59" s="86"/>
      <c r="AY59" s="86"/>
      <c r="AZ59" s="86"/>
      <c r="BA59" s="86"/>
      <c r="BB59" s="86"/>
      <c r="BC59" s="88"/>
    </row>
    <row r="60" spans="1:55" x14ac:dyDescent="0.2">
      <c r="A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123"/>
      <c r="AX60" s="86"/>
      <c r="AY60" s="86"/>
      <c r="AZ60" s="86"/>
      <c r="BA60" s="86"/>
      <c r="BB60" s="86"/>
      <c r="BC60" s="88"/>
    </row>
    <row r="61" spans="1:55" x14ac:dyDescent="0.2">
      <c r="A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123"/>
      <c r="AX61" s="86"/>
      <c r="AY61" s="86"/>
      <c r="AZ61" s="86"/>
      <c r="BA61" s="86"/>
      <c r="BB61" s="86"/>
      <c r="BC61" s="88"/>
    </row>
    <row r="62" spans="1:55" x14ac:dyDescent="0.2">
      <c r="A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123"/>
      <c r="AX62" s="86"/>
      <c r="AY62" s="86"/>
      <c r="AZ62" s="86"/>
      <c r="BA62" s="86"/>
      <c r="BB62" s="86"/>
      <c r="BC62" s="88"/>
    </row>
    <row r="63" spans="1:55" x14ac:dyDescent="0.2">
      <c r="A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123"/>
      <c r="AX63" s="86"/>
      <c r="AY63" s="86"/>
      <c r="AZ63" s="86"/>
      <c r="BA63" s="86"/>
      <c r="BB63" s="86"/>
      <c r="BC63" s="88"/>
    </row>
    <row r="64" spans="1:55" x14ac:dyDescent="0.2">
      <c r="A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123"/>
      <c r="AX64" s="86"/>
      <c r="AY64" s="86"/>
      <c r="AZ64" s="86"/>
      <c r="BA64" s="86"/>
      <c r="BB64" s="86"/>
      <c r="BC64" s="88"/>
    </row>
  </sheetData>
  <phoneticPr fontId="103" type="noConversion"/>
  <pageMargins left="0.75" right="0.75" top="1" bottom="1" header="0.3" footer="0.3"/>
  <pageSetup orientation="portrait" horizontalDpi="4294967292" verticalDpi="429496729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9"/>
  <sheetViews>
    <sheetView workbookViewId="0"/>
  </sheetViews>
  <sheetFormatPr baseColWidth="10" defaultColWidth="8.83203125" defaultRowHeight="16" x14ac:dyDescent="0.2"/>
  <cols>
    <col min="1" max="1" width="5.5" customWidth="1"/>
    <col min="2" max="2" width="41.1640625" customWidth="1"/>
    <col min="3" max="3" width="13.1640625" customWidth="1"/>
    <col min="4" max="4" width="9.83203125" bestFit="1" customWidth="1"/>
  </cols>
  <sheetData>
    <row r="1" spans="1:53" x14ac:dyDescent="0.2">
      <c r="D1">
        <v>1</v>
      </c>
      <c r="E1">
        <v>2</v>
      </c>
      <c r="F1">
        <v>3</v>
      </c>
      <c r="G1">
        <v>4</v>
      </c>
      <c r="H1">
        <v>5</v>
      </c>
      <c r="I1">
        <v>6</v>
      </c>
      <c r="J1">
        <v>7</v>
      </c>
      <c r="K1">
        <v>8</v>
      </c>
      <c r="L1">
        <v>10</v>
      </c>
      <c r="M1">
        <v>11</v>
      </c>
      <c r="N1">
        <v>12</v>
      </c>
      <c r="O1">
        <v>13</v>
      </c>
      <c r="P1">
        <v>14</v>
      </c>
      <c r="Q1">
        <v>15</v>
      </c>
      <c r="R1">
        <v>16</v>
      </c>
      <c r="S1">
        <v>17</v>
      </c>
      <c r="T1">
        <v>18</v>
      </c>
      <c r="U1">
        <v>19</v>
      </c>
      <c r="V1">
        <v>20</v>
      </c>
      <c r="W1">
        <v>21</v>
      </c>
      <c r="X1">
        <v>22</v>
      </c>
      <c r="Y1">
        <v>23</v>
      </c>
      <c r="Z1">
        <v>24</v>
      </c>
      <c r="AA1">
        <v>25</v>
      </c>
      <c r="AB1">
        <v>26</v>
      </c>
      <c r="AC1">
        <v>27</v>
      </c>
      <c r="AD1">
        <v>28</v>
      </c>
      <c r="AE1">
        <v>29</v>
      </c>
      <c r="AF1">
        <v>30</v>
      </c>
      <c r="AG1">
        <v>31</v>
      </c>
      <c r="AH1">
        <v>32</v>
      </c>
      <c r="AI1">
        <v>33</v>
      </c>
      <c r="AJ1">
        <v>34</v>
      </c>
      <c r="AK1">
        <v>35</v>
      </c>
      <c r="AL1">
        <v>36</v>
      </c>
      <c r="AM1">
        <v>37</v>
      </c>
      <c r="AN1">
        <v>38</v>
      </c>
      <c r="AO1">
        <v>39</v>
      </c>
      <c r="AP1">
        <v>40</v>
      </c>
      <c r="AQ1">
        <v>41</v>
      </c>
      <c r="AR1">
        <v>42</v>
      </c>
      <c r="AS1">
        <v>43</v>
      </c>
      <c r="AT1">
        <v>44</v>
      </c>
      <c r="AU1">
        <v>45</v>
      </c>
      <c r="AV1">
        <v>46</v>
      </c>
      <c r="AW1">
        <v>47</v>
      </c>
      <c r="AX1">
        <v>48</v>
      </c>
      <c r="AY1">
        <v>49</v>
      </c>
      <c r="AZ1">
        <v>50</v>
      </c>
      <c r="BA1">
        <v>51</v>
      </c>
    </row>
    <row r="2" spans="1:53" x14ac:dyDescent="0.2">
      <c r="A2" s="134"/>
      <c r="B2" s="134"/>
      <c r="C2" s="133"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row>
    <row r="3" spans="1:53" x14ac:dyDescent="0.2">
      <c r="C3" s="133"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row>
    <row r="4" spans="1:53" x14ac:dyDescent="0.2">
      <c r="A4" s="72">
        <v>1</v>
      </c>
      <c r="B4" s="315" t="s">
        <v>691</v>
      </c>
      <c r="C4" s="298">
        <f>SUM(D4:BA4)</f>
        <v>77.680179334383425</v>
      </c>
      <c r="D4" s="298">
        <f>SUM(D19:D25)</f>
        <v>1.4895797688954999</v>
      </c>
      <c r="E4" s="298">
        <f t="shared" ref="E4:BA4" si="0">SUM(E19:E25)</f>
        <v>0.21166798172000001</v>
      </c>
      <c r="F4" s="298">
        <f t="shared" si="0"/>
        <v>2.0635610559891999</v>
      </c>
      <c r="G4" s="298">
        <f t="shared" si="0"/>
        <v>0.9143542962804001</v>
      </c>
      <c r="H4" s="298">
        <f t="shared" si="0"/>
        <v>9.5126799160296009</v>
      </c>
      <c r="I4" s="298">
        <f t="shared" si="0"/>
        <v>1.0658633375836</v>
      </c>
      <c r="J4" s="298">
        <f t="shared" si="0"/>
        <v>0.6665941311711</v>
      </c>
      <c r="K4" s="298">
        <f t="shared" si="0"/>
        <v>0.27041278971280003</v>
      </c>
      <c r="L4" s="298">
        <f t="shared" si="0"/>
        <v>5.4278858492178017</v>
      </c>
      <c r="M4" s="298">
        <f t="shared" si="0"/>
        <v>2.745522771838</v>
      </c>
      <c r="N4" s="298">
        <f t="shared" si="0"/>
        <v>0.19466387679130001</v>
      </c>
      <c r="O4" s="298">
        <f t="shared" si="0"/>
        <v>0.2252935265113</v>
      </c>
      <c r="P4" s="298">
        <f t="shared" si="0"/>
        <v>3.7098271660771012</v>
      </c>
      <c r="Q4" s="298">
        <f t="shared" si="0"/>
        <v>1.6028657528671</v>
      </c>
      <c r="R4" s="298">
        <f t="shared" si="0"/>
        <v>0.40339235463340001</v>
      </c>
      <c r="S4" s="298">
        <f t="shared" si="0"/>
        <v>0.68162711123410002</v>
      </c>
      <c r="T4" s="298">
        <f t="shared" si="0"/>
        <v>0.87686470730690003</v>
      </c>
      <c r="U4" s="298">
        <f t="shared" si="0"/>
        <v>2.1371658856096003</v>
      </c>
      <c r="V4" s="298">
        <f t="shared" si="0"/>
        <v>0.17388650472969999</v>
      </c>
      <c r="W4" s="298">
        <f t="shared" si="0"/>
        <v>1.8625839659554002</v>
      </c>
      <c r="X4" s="298">
        <f t="shared" si="0"/>
        <v>1.2426535478342999</v>
      </c>
      <c r="Y4" s="298">
        <f t="shared" si="0"/>
        <v>3.1884801248649004</v>
      </c>
      <c r="Z4" s="298">
        <f t="shared" si="0"/>
        <v>0.74888634975680013</v>
      </c>
      <c r="AA4" s="298">
        <f t="shared" si="0"/>
        <v>0.99204701566820008</v>
      </c>
      <c r="AB4" s="298">
        <f t="shared" si="0"/>
        <v>1.8045593596625005</v>
      </c>
      <c r="AC4" s="298">
        <f t="shared" si="0"/>
        <v>0.18433356939089995</v>
      </c>
      <c r="AD4" s="298">
        <f t="shared" si="0"/>
        <v>0.39371506990589994</v>
      </c>
      <c r="AE4" s="298">
        <f t="shared" si="0"/>
        <v>0.80840539679230006</v>
      </c>
      <c r="AF4" s="298">
        <f t="shared" si="0"/>
        <v>0.17758118823760002</v>
      </c>
      <c r="AG4" s="298">
        <f t="shared" si="0"/>
        <v>1.7883158267168002</v>
      </c>
      <c r="AH4" s="298">
        <f t="shared" si="0"/>
        <v>0.8019176760001</v>
      </c>
      <c r="AI4" s="298">
        <f t="shared" si="0"/>
        <v>3.8441108522285994</v>
      </c>
      <c r="AJ4" s="298">
        <f t="shared" si="0"/>
        <v>2.4868207531156004</v>
      </c>
      <c r="AK4" s="298">
        <f t="shared" si="0"/>
        <v>0.13700670016300001</v>
      </c>
      <c r="AL4" s="298">
        <f t="shared" si="0"/>
        <v>2.7493662268582995</v>
      </c>
      <c r="AM4" s="298">
        <f t="shared" si="0"/>
        <v>1.1645550012409001</v>
      </c>
      <c r="AN4" s="298">
        <f t="shared" si="0"/>
        <v>0.63599214026710005</v>
      </c>
      <c r="AO4" s="298">
        <f t="shared" si="0"/>
        <v>3.1089332914751</v>
      </c>
      <c r="AP4" s="298">
        <f t="shared" si="0"/>
        <v>0.16088985828009997</v>
      </c>
      <c r="AQ4" s="298">
        <f t="shared" si="0"/>
        <v>1.6961942093737998</v>
      </c>
      <c r="AR4" s="298">
        <f t="shared" si="0"/>
        <v>0.15855643674900002</v>
      </c>
      <c r="AS4" s="298">
        <f t="shared" si="0"/>
        <v>2.0962049834814005</v>
      </c>
      <c r="AT4" s="298">
        <f t="shared" si="0"/>
        <v>6.4803533402397004</v>
      </c>
      <c r="AU4" s="298">
        <f t="shared" si="0"/>
        <v>0.40572999014629996</v>
      </c>
      <c r="AV4" s="298">
        <f t="shared" si="0"/>
        <v>7.56424561514E-2</v>
      </c>
      <c r="AW4" s="298">
        <f t="shared" si="0"/>
        <v>1.4455158486631998</v>
      </c>
      <c r="AX4" s="298">
        <f t="shared" si="0"/>
        <v>1.3052729054266001</v>
      </c>
      <c r="AY4" s="298">
        <f t="shared" si="0"/>
        <v>0.40998063485079994</v>
      </c>
      <c r="AZ4" s="298">
        <f t="shared" si="0"/>
        <v>0.85551441423849994</v>
      </c>
      <c r="BA4" s="298">
        <f t="shared" si="0"/>
        <v>9.6351416449799998E-2</v>
      </c>
    </row>
    <row r="5" spans="1:53" x14ac:dyDescent="0.2">
      <c r="A5" s="52">
        <v>2</v>
      </c>
      <c r="B5" s="393" t="s">
        <v>692</v>
      </c>
      <c r="D5" s="247">
        <v>299</v>
      </c>
      <c r="E5" s="247">
        <v>30</v>
      </c>
      <c r="F5" s="247">
        <v>397</v>
      </c>
      <c r="G5" s="247">
        <v>160</v>
      </c>
      <c r="H5" s="242">
        <v>1792</v>
      </c>
      <c r="I5" s="247">
        <v>155</v>
      </c>
      <c r="J5" s="247">
        <v>129</v>
      </c>
      <c r="K5" s="247">
        <v>48</v>
      </c>
      <c r="L5" s="247">
        <v>984</v>
      </c>
      <c r="M5" s="247">
        <v>549</v>
      </c>
      <c r="N5" s="247">
        <v>20</v>
      </c>
      <c r="O5" s="247">
        <v>35</v>
      </c>
      <c r="P5" s="247">
        <v>781</v>
      </c>
      <c r="Q5" s="247">
        <v>306</v>
      </c>
      <c r="R5" s="247">
        <v>44</v>
      </c>
      <c r="S5" s="247">
        <v>111</v>
      </c>
      <c r="T5" s="247">
        <v>151</v>
      </c>
      <c r="U5" s="247">
        <v>506</v>
      </c>
      <c r="V5" s="247">
        <v>26</v>
      </c>
      <c r="W5" s="247">
        <v>399</v>
      </c>
      <c r="X5" s="247">
        <v>184</v>
      </c>
      <c r="Y5" s="247">
        <v>617</v>
      </c>
      <c r="Z5" s="247">
        <v>75</v>
      </c>
      <c r="AA5" s="247">
        <v>232</v>
      </c>
      <c r="AB5" s="247">
        <v>366</v>
      </c>
      <c r="AC5" s="247">
        <v>29</v>
      </c>
      <c r="AD5" s="247">
        <v>68</v>
      </c>
      <c r="AE5" s="247">
        <v>139</v>
      </c>
      <c r="AF5" s="247">
        <v>16</v>
      </c>
      <c r="AG5" s="247">
        <v>380</v>
      </c>
      <c r="AH5" s="247">
        <v>158</v>
      </c>
      <c r="AI5" s="247">
        <v>769</v>
      </c>
      <c r="AJ5" s="247">
        <v>498</v>
      </c>
      <c r="AK5" s="247">
        <v>24</v>
      </c>
      <c r="AL5" s="247">
        <v>500</v>
      </c>
      <c r="AM5" s="247">
        <v>212</v>
      </c>
      <c r="AN5" s="247">
        <v>84</v>
      </c>
      <c r="AO5" s="247">
        <v>639</v>
      </c>
      <c r="AP5" s="247">
        <v>20</v>
      </c>
      <c r="AQ5" s="247">
        <v>320</v>
      </c>
      <c r="AR5" s="247">
        <v>20</v>
      </c>
      <c r="AS5" s="247">
        <v>380</v>
      </c>
      <c r="AT5" s="242">
        <v>1130</v>
      </c>
      <c r="AU5" s="247">
        <v>50</v>
      </c>
      <c r="AV5" s="247">
        <v>11</v>
      </c>
      <c r="AW5" s="247">
        <v>304</v>
      </c>
      <c r="AX5" s="247">
        <v>163</v>
      </c>
      <c r="AY5" s="247">
        <v>87</v>
      </c>
      <c r="AZ5" s="247">
        <v>138</v>
      </c>
      <c r="BA5" s="247">
        <v>18</v>
      </c>
    </row>
    <row r="6" spans="1:53" x14ac:dyDescent="0.2">
      <c r="A6" s="52">
        <v>3</v>
      </c>
      <c r="B6" s="393" t="s">
        <v>693</v>
      </c>
      <c r="D6" s="247">
        <v>1370</v>
      </c>
      <c r="E6" s="242">
        <v>436</v>
      </c>
      <c r="F6" s="242">
        <v>2499</v>
      </c>
      <c r="G6" s="242">
        <v>1230</v>
      </c>
      <c r="H6" s="242">
        <v>7665</v>
      </c>
      <c r="I6" s="242">
        <v>2285</v>
      </c>
      <c r="J6" s="247">
        <v>689</v>
      </c>
      <c r="K6" s="247">
        <v>307</v>
      </c>
      <c r="L6" s="242">
        <v>5273</v>
      </c>
      <c r="M6" s="242">
        <v>2066</v>
      </c>
      <c r="N6" s="247">
        <v>353</v>
      </c>
      <c r="O6" s="247">
        <v>444</v>
      </c>
      <c r="P6" s="242">
        <v>3030</v>
      </c>
      <c r="Q6" s="242">
        <v>1758</v>
      </c>
      <c r="R6" s="247">
        <v>866</v>
      </c>
      <c r="S6" s="242">
        <v>1122</v>
      </c>
      <c r="T6" s="242">
        <v>1499</v>
      </c>
      <c r="U6" s="242">
        <v>1262</v>
      </c>
      <c r="V6" s="247">
        <v>394</v>
      </c>
      <c r="W6" s="242">
        <v>1200</v>
      </c>
      <c r="X6" s="242">
        <v>1654</v>
      </c>
      <c r="Y6" s="242">
        <v>4344</v>
      </c>
      <c r="Z6" s="242">
        <v>2113</v>
      </c>
      <c r="AA6" s="247">
        <v>863</v>
      </c>
      <c r="AB6" s="242">
        <v>1469</v>
      </c>
      <c r="AC6" s="247">
        <v>366</v>
      </c>
      <c r="AD6" s="247">
        <v>699</v>
      </c>
      <c r="AE6" s="247">
        <v>913</v>
      </c>
      <c r="AF6" s="247">
        <v>581</v>
      </c>
      <c r="AG6" s="242">
        <v>1006</v>
      </c>
      <c r="AH6" s="247">
        <v>856</v>
      </c>
      <c r="AI6" s="242">
        <v>2751</v>
      </c>
      <c r="AJ6" s="242">
        <v>1959</v>
      </c>
      <c r="AK6" s="247">
        <v>266</v>
      </c>
      <c r="AL6" s="242">
        <v>3679</v>
      </c>
      <c r="AM6" s="242">
        <v>1410</v>
      </c>
      <c r="AN6" s="242">
        <v>1239</v>
      </c>
      <c r="AO6" s="242">
        <v>3339</v>
      </c>
      <c r="AP6" s="247">
        <v>319</v>
      </c>
      <c r="AQ6" s="242">
        <v>1678</v>
      </c>
      <c r="AR6" s="247">
        <v>503</v>
      </c>
      <c r="AS6" s="242">
        <v>2095</v>
      </c>
      <c r="AT6" s="242">
        <v>7486</v>
      </c>
      <c r="AU6" s="247">
        <v>901</v>
      </c>
      <c r="AV6" s="247">
        <v>146</v>
      </c>
      <c r="AW6" s="242">
        <v>1591</v>
      </c>
      <c r="AX6" s="242">
        <v>2320</v>
      </c>
      <c r="AY6" s="247">
        <v>372</v>
      </c>
      <c r="AZ6" s="242">
        <v>1190</v>
      </c>
      <c r="BA6" s="247">
        <v>146</v>
      </c>
    </row>
    <row r="7" spans="1:53" x14ac:dyDescent="0.2">
      <c r="A7" s="52">
        <v>4</v>
      </c>
      <c r="B7" s="393" t="s">
        <v>694</v>
      </c>
      <c r="D7" s="247">
        <v>4906</v>
      </c>
      <c r="E7" s="242">
        <v>576</v>
      </c>
      <c r="F7" s="242">
        <v>7145</v>
      </c>
      <c r="G7" s="242">
        <v>2357</v>
      </c>
      <c r="H7" s="242">
        <v>54291</v>
      </c>
      <c r="I7" s="242">
        <v>3299</v>
      </c>
      <c r="J7" s="242">
        <v>3689</v>
      </c>
      <c r="K7" s="242">
        <v>1558</v>
      </c>
      <c r="L7" s="242">
        <v>25622</v>
      </c>
      <c r="M7" s="242">
        <v>12266</v>
      </c>
      <c r="N7" s="247">
        <v>994</v>
      </c>
      <c r="O7" s="247">
        <v>188</v>
      </c>
      <c r="P7" s="242">
        <v>20217</v>
      </c>
      <c r="Q7" s="242">
        <v>6977</v>
      </c>
      <c r="R7" s="247">
        <v>824</v>
      </c>
      <c r="S7" s="242">
        <v>1448</v>
      </c>
      <c r="T7" s="242">
        <v>3705</v>
      </c>
      <c r="U7" s="242">
        <v>5235</v>
      </c>
      <c r="V7" s="247">
        <v>370</v>
      </c>
      <c r="W7" s="242">
        <v>10342</v>
      </c>
      <c r="X7" s="242">
        <v>6768</v>
      </c>
      <c r="Y7" s="242">
        <v>10263</v>
      </c>
      <c r="Z7" s="242">
        <v>3385</v>
      </c>
      <c r="AA7" s="242">
        <v>2496</v>
      </c>
      <c r="AB7" s="242">
        <v>6275</v>
      </c>
      <c r="AC7" s="247">
        <v>171</v>
      </c>
      <c r="AD7" s="247">
        <v>993</v>
      </c>
      <c r="AE7" s="242">
        <v>4308</v>
      </c>
      <c r="AF7" s="247">
        <v>509</v>
      </c>
      <c r="AG7" s="242">
        <v>12209</v>
      </c>
      <c r="AH7" s="242">
        <v>1720</v>
      </c>
      <c r="AI7" s="242">
        <v>28405</v>
      </c>
      <c r="AJ7" s="242">
        <v>9448</v>
      </c>
      <c r="AK7" s="247">
        <v>91</v>
      </c>
      <c r="AL7" s="242">
        <v>15991</v>
      </c>
      <c r="AM7" s="242">
        <v>3288</v>
      </c>
      <c r="AN7" s="242">
        <v>2237</v>
      </c>
      <c r="AO7" s="242">
        <v>16165</v>
      </c>
      <c r="AP7" s="247">
        <v>744</v>
      </c>
      <c r="AQ7" s="242">
        <v>4631</v>
      </c>
      <c r="AR7" s="247">
        <v>167</v>
      </c>
      <c r="AS7" s="242">
        <v>8082</v>
      </c>
      <c r="AT7" s="242">
        <v>28620</v>
      </c>
      <c r="AU7" s="242">
        <v>1079</v>
      </c>
      <c r="AV7" s="247">
        <v>99</v>
      </c>
      <c r="AW7" s="242">
        <v>5425</v>
      </c>
      <c r="AX7" s="242">
        <v>5627</v>
      </c>
      <c r="AY7" s="247">
        <v>802</v>
      </c>
      <c r="AZ7" s="242">
        <v>4600</v>
      </c>
      <c r="BA7" s="247">
        <v>71</v>
      </c>
    </row>
    <row r="8" spans="1:53" x14ac:dyDescent="0.2">
      <c r="A8" s="52">
        <v>5</v>
      </c>
      <c r="B8" s="393" t="s">
        <v>695</v>
      </c>
      <c r="D8" s="242">
        <v>13591</v>
      </c>
      <c r="E8" s="242">
        <v>3374</v>
      </c>
      <c r="F8" s="242">
        <v>16748</v>
      </c>
      <c r="G8" s="242">
        <v>10426</v>
      </c>
      <c r="H8" s="242">
        <v>91195</v>
      </c>
      <c r="I8" s="242">
        <v>10346</v>
      </c>
      <c r="J8" s="242">
        <v>5382</v>
      </c>
      <c r="K8" s="242">
        <v>3231</v>
      </c>
      <c r="L8" s="242">
        <v>66319</v>
      </c>
      <c r="M8" s="242">
        <v>21881</v>
      </c>
      <c r="N8" s="242">
        <v>2098</v>
      </c>
      <c r="O8" s="242">
        <v>2535</v>
      </c>
      <c r="P8" s="242">
        <v>30495</v>
      </c>
      <c r="Q8" s="242">
        <v>12578</v>
      </c>
      <c r="R8" s="242">
        <v>6149</v>
      </c>
      <c r="S8" s="242">
        <v>7528</v>
      </c>
      <c r="T8" s="242">
        <v>5110</v>
      </c>
      <c r="U8" s="242">
        <v>18370</v>
      </c>
      <c r="V8" s="247">
        <v>848</v>
      </c>
      <c r="W8" s="242">
        <v>16876</v>
      </c>
      <c r="X8" s="242">
        <v>19626</v>
      </c>
      <c r="Y8" s="242">
        <v>28507</v>
      </c>
      <c r="Z8" s="242">
        <v>6750</v>
      </c>
      <c r="AA8" s="242">
        <v>4418</v>
      </c>
      <c r="AB8" s="242">
        <v>18778</v>
      </c>
      <c r="AC8" s="242">
        <v>2189</v>
      </c>
      <c r="AD8" s="242">
        <v>2912</v>
      </c>
      <c r="AE8" s="242">
        <v>10092</v>
      </c>
      <c r="AF8" s="242">
        <v>1758</v>
      </c>
      <c r="AG8" s="242">
        <v>13608</v>
      </c>
      <c r="AH8" s="242">
        <v>9170</v>
      </c>
      <c r="AI8" s="242">
        <v>45538</v>
      </c>
      <c r="AJ8" s="242">
        <v>21516</v>
      </c>
      <c r="AK8" s="242">
        <v>1318</v>
      </c>
      <c r="AL8" s="242">
        <v>15048</v>
      </c>
      <c r="AM8" s="242">
        <v>12401</v>
      </c>
      <c r="AN8" s="242">
        <v>6083</v>
      </c>
      <c r="AO8" s="242">
        <v>26046</v>
      </c>
      <c r="AP8" s="242">
        <v>1503</v>
      </c>
      <c r="AQ8" s="242">
        <v>21265</v>
      </c>
      <c r="AR8" s="242">
        <v>1415</v>
      </c>
      <c r="AS8" s="242">
        <v>28338</v>
      </c>
      <c r="AT8" s="242">
        <v>67498</v>
      </c>
      <c r="AU8" s="242">
        <v>3517</v>
      </c>
      <c r="AV8" s="247">
        <v>669</v>
      </c>
      <c r="AW8" s="242">
        <v>8694</v>
      </c>
      <c r="AX8" s="242">
        <v>12042</v>
      </c>
      <c r="AY8" s="242">
        <v>4236</v>
      </c>
      <c r="AZ8" s="242">
        <v>8340</v>
      </c>
      <c r="BA8" s="242">
        <v>1010</v>
      </c>
    </row>
    <row r="9" spans="1:53" x14ac:dyDescent="0.2">
      <c r="A9" s="52">
        <v>6</v>
      </c>
      <c r="B9" s="393" t="s">
        <v>696</v>
      </c>
      <c r="D9" s="242">
        <v>51119</v>
      </c>
      <c r="E9" s="242">
        <v>2852</v>
      </c>
      <c r="F9" s="242">
        <v>54695</v>
      </c>
      <c r="G9" s="242">
        <v>34016</v>
      </c>
      <c r="H9" s="242">
        <v>230075</v>
      </c>
      <c r="I9" s="242">
        <v>25725</v>
      </c>
      <c r="J9" s="242">
        <v>15468</v>
      </c>
      <c r="K9" s="242">
        <v>7617</v>
      </c>
      <c r="L9" s="242">
        <v>170171</v>
      </c>
      <c r="M9" s="242">
        <v>96014</v>
      </c>
      <c r="N9" s="242">
        <v>8165</v>
      </c>
      <c r="O9" s="242">
        <v>6915</v>
      </c>
      <c r="P9" s="242">
        <v>77719</v>
      </c>
      <c r="Q9" s="242">
        <v>50571</v>
      </c>
      <c r="R9" s="242">
        <v>17573</v>
      </c>
      <c r="S9" s="242">
        <v>18712</v>
      </c>
      <c r="T9" s="242">
        <v>32750</v>
      </c>
      <c r="U9" s="242">
        <v>46242</v>
      </c>
      <c r="V9" s="242">
        <v>7865</v>
      </c>
      <c r="W9" s="242">
        <v>35823</v>
      </c>
      <c r="X9" s="242">
        <v>36403</v>
      </c>
      <c r="Y9" s="242">
        <v>69755</v>
      </c>
      <c r="Z9" s="242">
        <v>25681</v>
      </c>
      <c r="AA9" s="242">
        <v>30722</v>
      </c>
      <c r="AB9" s="242">
        <v>44875</v>
      </c>
      <c r="AC9" s="242">
        <v>3347</v>
      </c>
      <c r="AD9" s="242">
        <v>8725</v>
      </c>
      <c r="AE9" s="242">
        <v>20342</v>
      </c>
      <c r="AF9" s="242">
        <v>6244</v>
      </c>
      <c r="AG9" s="242">
        <v>43238</v>
      </c>
      <c r="AH9" s="242">
        <v>21419</v>
      </c>
      <c r="AI9" s="242">
        <v>65227</v>
      </c>
      <c r="AJ9" s="242">
        <v>105534</v>
      </c>
      <c r="AK9" s="242">
        <v>2458</v>
      </c>
      <c r="AL9" s="242">
        <v>112901</v>
      </c>
      <c r="AM9" s="242">
        <v>36462</v>
      </c>
      <c r="AN9" s="242">
        <v>20704</v>
      </c>
      <c r="AO9" s="242">
        <v>57966</v>
      </c>
      <c r="AP9" s="242">
        <v>6836</v>
      </c>
      <c r="AQ9" s="242">
        <v>47351</v>
      </c>
      <c r="AR9" s="242">
        <v>2927</v>
      </c>
      <c r="AS9" s="242">
        <v>62830</v>
      </c>
      <c r="AT9" s="242">
        <v>215775</v>
      </c>
      <c r="AU9" s="242">
        <v>13170</v>
      </c>
      <c r="AV9" s="242">
        <v>3838</v>
      </c>
      <c r="AW9" s="242">
        <v>30656</v>
      </c>
      <c r="AX9" s="242">
        <v>56561</v>
      </c>
      <c r="AY9" s="242">
        <v>10245</v>
      </c>
      <c r="AZ9" s="242">
        <v>27167</v>
      </c>
      <c r="BA9" s="242">
        <v>1864</v>
      </c>
    </row>
    <row r="10" spans="1:53" x14ac:dyDescent="0.2">
      <c r="A10" s="52">
        <v>7</v>
      </c>
      <c r="B10" s="393" t="s">
        <v>697</v>
      </c>
      <c r="D10" s="242">
        <v>111411</v>
      </c>
      <c r="E10" s="242">
        <v>14854</v>
      </c>
      <c r="F10" s="242">
        <v>155400</v>
      </c>
      <c r="G10" s="242">
        <v>70645</v>
      </c>
      <c r="H10" s="242">
        <v>596905</v>
      </c>
      <c r="I10" s="242">
        <v>96054</v>
      </c>
      <c r="J10" s="242">
        <v>55067</v>
      </c>
      <c r="K10" s="242">
        <v>22001</v>
      </c>
      <c r="L10" s="242">
        <v>461408</v>
      </c>
      <c r="M10" s="242">
        <v>231543</v>
      </c>
      <c r="N10" s="242">
        <v>31240</v>
      </c>
      <c r="O10" s="242">
        <v>24629</v>
      </c>
      <c r="P10" s="242">
        <v>237362</v>
      </c>
      <c r="Q10" s="242">
        <v>140630</v>
      </c>
      <c r="R10" s="242">
        <v>50472</v>
      </c>
      <c r="S10" s="242">
        <v>63259</v>
      </c>
      <c r="T10" s="242">
        <v>79586</v>
      </c>
      <c r="U10" s="242">
        <v>113174</v>
      </c>
      <c r="V10" s="242">
        <v>24886</v>
      </c>
      <c r="W10" s="242">
        <v>114951</v>
      </c>
      <c r="X10" s="242">
        <v>101644</v>
      </c>
      <c r="Y10" s="242">
        <v>156666</v>
      </c>
      <c r="Z10" s="242">
        <v>102354</v>
      </c>
      <c r="AA10" s="242">
        <v>54179</v>
      </c>
      <c r="AB10" s="242">
        <v>138879</v>
      </c>
      <c r="AC10" s="242">
        <v>19089</v>
      </c>
      <c r="AD10" s="242">
        <v>38060</v>
      </c>
      <c r="AE10" s="242">
        <v>40156</v>
      </c>
      <c r="AF10" s="242">
        <v>25398</v>
      </c>
      <c r="AG10" s="242">
        <v>129066</v>
      </c>
      <c r="AH10" s="242">
        <v>46730</v>
      </c>
      <c r="AI10" s="242">
        <v>287361</v>
      </c>
      <c r="AJ10" s="242">
        <v>215453</v>
      </c>
      <c r="AK10" s="242">
        <v>9891</v>
      </c>
      <c r="AL10" s="242">
        <v>246744</v>
      </c>
      <c r="AM10" s="242">
        <v>80064</v>
      </c>
      <c r="AN10" s="242">
        <v>92059</v>
      </c>
      <c r="AO10" s="242">
        <v>208604</v>
      </c>
      <c r="AP10" s="242">
        <v>18765</v>
      </c>
      <c r="AQ10" s="242">
        <v>122255</v>
      </c>
      <c r="AR10" s="242">
        <v>11423</v>
      </c>
      <c r="AS10" s="242">
        <v>153928</v>
      </c>
      <c r="AT10" s="242">
        <v>613131</v>
      </c>
      <c r="AU10" s="242">
        <v>64727</v>
      </c>
      <c r="AV10" s="242">
        <v>10720</v>
      </c>
      <c r="AW10" s="242">
        <v>142476</v>
      </c>
      <c r="AX10" s="242">
        <v>162828</v>
      </c>
      <c r="AY10" s="242">
        <v>26656</v>
      </c>
      <c r="AZ10" s="242">
        <v>104472</v>
      </c>
      <c r="BA10" s="242">
        <v>10493</v>
      </c>
    </row>
    <row r="11" spans="1:53" x14ac:dyDescent="0.2">
      <c r="A11" s="52">
        <v>8</v>
      </c>
      <c r="B11" s="393" t="s">
        <v>698</v>
      </c>
      <c r="D11" s="242">
        <v>10662</v>
      </c>
      <c r="E11" s="242">
        <v>1388</v>
      </c>
      <c r="F11" s="242">
        <v>19801</v>
      </c>
      <c r="G11" s="242">
        <v>5769</v>
      </c>
      <c r="H11" s="242">
        <v>146842</v>
      </c>
      <c r="I11" s="242">
        <v>11002</v>
      </c>
      <c r="J11" s="242">
        <v>6670</v>
      </c>
      <c r="K11" s="242">
        <v>1545</v>
      </c>
      <c r="L11" s="242">
        <v>39621</v>
      </c>
      <c r="M11" s="242">
        <v>29678</v>
      </c>
      <c r="N11" s="242">
        <v>4469</v>
      </c>
      <c r="O11" s="242">
        <v>1331</v>
      </c>
      <c r="P11" s="242">
        <v>29387</v>
      </c>
      <c r="Q11" s="242">
        <v>14815</v>
      </c>
      <c r="R11" s="242">
        <v>3998</v>
      </c>
      <c r="S11" s="242">
        <v>6684</v>
      </c>
      <c r="T11" s="242">
        <v>6701</v>
      </c>
      <c r="U11" s="242">
        <v>9113</v>
      </c>
      <c r="V11" s="242">
        <v>1078</v>
      </c>
      <c r="W11" s="242">
        <v>16072</v>
      </c>
      <c r="X11" s="242">
        <v>10782</v>
      </c>
      <c r="Y11" s="242">
        <v>24908</v>
      </c>
      <c r="Z11" s="242">
        <v>8148</v>
      </c>
      <c r="AA11" s="242">
        <v>4908</v>
      </c>
      <c r="AB11" s="242">
        <v>15331</v>
      </c>
      <c r="AC11" s="242">
        <v>1449</v>
      </c>
      <c r="AD11" s="242">
        <v>4109</v>
      </c>
      <c r="AE11" s="242">
        <v>9577</v>
      </c>
      <c r="AF11" s="242">
        <v>1114</v>
      </c>
      <c r="AG11" s="242">
        <v>17415</v>
      </c>
      <c r="AH11" s="242">
        <v>5400</v>
      </c>
      <c r="AI11" s="242">
        <v>19249</v>
      </c>
      <c r="AJ11" s="242">
        <v>16819</v>
      </c>
      <c r="AK11" s="242">
        <v>985</v>
      </c>
      <c r="AL11" s="242">
        <v>20927</v>
      </c>
      <c r="AM11" s="242">
        <v>11092</v>
      </c>
      <c r="AN11" s="242">
        <v>9106</v>
      </c>
      <c r="AO11" s="242">
        <v>16872</v>
      </c>
      <c r="AP11" s="242">
        <v>2375</v>
      </c>
      <c r="AQ11" s="242">
        <v>13637</v>
      </c>
      <c r="AR11" s="242">
        <v>949</v>
      </c>
      <c r="AS11" s="242">
        <v>14142</v>
      </c>
      <c r="AT11" s="242">
        <v>63924</v>
      </c>
      <c r="AU11" s="242">
        <v>6187</v>
      </c>
      <c r="AV11" s="242">
        <v>528</v>
      </c>
      <c r="AW11" s="242">
        <v>9770</v>
      </c>
      <c r="AX11" s="242">
        <v>24820</v>
      </c>
      <c r="AY11" s="242">
        <v>2108</v>
      </c>
      <c r="AZ11" s="242">
        <v>8273</v>
      </c>
      <c r="BA11" s="242">
        <v>521</v>
      </c>
    </row>
    <row r="12" spans="1:53" x14ac:dyDescent="0.2">
      <c r="A12" s="52">
        <v>9</v>
      </c>
      <c r="B12" s="227" t="s">
        <v>756</v>
      </c>
      <c r="C12" s="304">
        <v>2981928.6471000002</v>
      </c>
    </row>
    <row r="13" spans="1:53" x14ac:dyDescent="0.2">
      <c r="A13" s="52">
        <v>10</v>
      </c>
      <c r="B13" s="227" t="s">
        <v>757</v>
      </c>
      <c r="C13" s="304">
        <v>127231.3658</v>
      </c>
    </row>
    <row r="14" spans="1:53" x14ac:dyDescent="0.2">
      <c r="A14" s="52">
        <v>11</v>
      </c>
      <c r="B14" s="227" t="s">
        <v>758</v>
      </c>
      <c r="C14" s="304">
        <v>10069.2364</v>
      </c>
    </row>
    <row r="15" spans="1:53" x14ac:dyDescent="0.2">
      <c r="A15" s="52">
        <v>12</v>
      </c>
      <c r="B15" s="227" t="s">
        <v>759</v>
      </c>
      <c r="C15" s="304">
        <v>12217.3351</v>
      </c>
    </row>
    <row r="16" spans="1:53" x14ac:dyDescent="0.2">
      <c r="A16" s="52">
        <v>13</v>
      </c>
      <c r="B16" s="227" t="s">
        <v>760</v>
      </c>
      <c r="C16" s="304">
        <v>1982.6195000000002</v>
      </c>
    </row>
    <row r="17" spans="1:53" x14ac:dyDescent="0.2">
      <c r="A17" s="52">
        <v>14</v>
      </c>
      <c r="B17" s="227" t="s">
        <v>707</v>
      </c>
      <c r="C17" s="304">
        <v>421.50560000000002</v>
      </c>
    </row>
    <row r="18" spans="1:53" x14ac:dyDescent="0.2">
      <c r="A18" s="52">
        <v>15</v>
      </c>
      <c r="B18" s="227" t="s">
        <v>708</v>
      </c>
      <c r="C18" s="304">
        <v>5620.0310000000009</v>
      </c>
    </row>
    <row r="19" spans="1:53" x14ac:dyDescent="0.2">
      <c r="A19" s="52">
        <v>16</v>
      </c>
      <c r="B19" t="s">
        <v>709</v>
      </c>
      <c r="C19" s="71">
        <f>SUM(D19:BA19)</f>
        <v>43.396007601246303</v>
      </c>
      <c r="D19" s="71">
        <f t="shared" ref="D19:D25" si="1">D5*$C12/1000000000</f>
        <v>0.89159666548290006</v>
      </c>
      <c r="E19" s="71">
        <f t="shared" ref="E19:BA19" si="2">E5*$C12/1000000000</f>
        <v>8.9457859412999996E-2</v>
      </c>
      <c r="F19" s="71">
        <f t="shared" si="2"/>
        <v>1.1838256728987</v>
      </c>
      <c r="G19" s="71">
        <f t="shared" si="2"/>
        <v>0.477108583536</v>
      </c>
      <c r="H19" s="71">
        <f t="shared" si="2"/>
        <v>5.3436161356031997</v>
      </c>
      <c r="I19" s="71">
        <f t="shared" si="2"/>
        <v>0.46219894030050002</v>
      </c>
      <c r="J19" s="71">
        <f t="shared" si="2"/>
        <v>0.38466879547589999</v>
      </c>
      <c r="K19" s="71">
        <f t="shared" si="2"/>
        <v>0.14313257506080002</v>
      </c>
      <c r="L19" s="71">
        <f t="shared" si="2"/>
        <v>2.9342177887464005</v>
      </c>
      <c r="M19" s="71">
        <f t="shared" si="2"/>
        <v>1.6370788272579</v>
      </c>
      <c r="N19" s="71">
        <f t="shared" si="2"/>
        <v>5.9638572942E-2</v>
      </c>
      <c r="O19" s="71">
        <f t="shared" si="2"/>
        <v>0.1043675026485</v>
      </c>
      <c r="P19" s="71">
        <f t="shared" si="2"/>
        <v>2.3288862733851006</v>
      </c>
      <c r="Q19" s="71">
        <f t="shared" si="2"/>
        <v>0.91247016601260011</v>
      </c>
      <c r="R19" s="71">
        <f t="shared" si="2"/>
        <v>0.13120486047240001</v>
      </c>
      <c r="S19" s="71">
        <f t="shared" si="2"/>
        <v>0.33099407982810003</v>
      </c>
      <c r="T19" s="71">
        <f t="shared" si="2"/>
        <v>0.45027122571210004</v>
      </c>
      <c r="U19" s="71">
        <f t="shared" si="2"/>
        <v>1.5088558954326001</v>
      </c>
      <c r="V19" s="71">
        <f t="shared" si="2"/>
        <v>7.7530144824600009E-2</v>
      </c>
      <c r="W19" s="71">
        <f t="shared" si="2"/>
        <v>1.1897895301929002</v>
      </c>
      <c r="X19" s="71">
        <f t="shared" si="2"/>
        <v>0.54867487106640001</v>
      </c>
      <c r="Y19" s="71">
        <f t="shared" si="2"/>
        <v>1.8398499752607003</v>
      </c>
      <c r="Z19" s="71">
        <f t="shared" si="2"/>
        <v>0.22364464853249999</v>
      </c>
      <c r="AA19" s="71">
        <f t="shared" si="2"/>
        <v>0.69180744612720002</v>
      </c>
      <c r="AB19" s="71">
        <f t="shared" si="2"/>
        <v>1.0913858848386002</v>
      </c>
      <c r="AC19" s="71">
        <f t="shared" si="2"/>
        <v>8.6475930765900003E-2</v>
      </c>
      <c r="AD19" s="71">
        <f t="shared" si="2"/>
        <v>0.20277114800280002</v>
      </c>
      <c r="AE19" s="71">
        <f t="shared" si="2"/>
        <v>0.41448808194690001</v>
      </c>
      <c r="AF19" s="71">
        <f t="shared" si="2"/>
        <v>4.7710858353600005E-2</v>
      </c>
      <c r="AG19" s="71">
        <f t="shared" si="2"/>
        <v>1.1331328858980001</v>
      </c>
      <c r="AH19" s="71">
        <f t="shared" si="2"/>
        <v>0.47114472624179998</v>
      </c>
      <c r="AI19" s="71">
        <f t="shared" si="2"/>
        <v>2.2931031296199</v>
      </c>
      <c r="AJ19" s="71">
        <f t="shared" si="2"/>
        <v>1.4850004662558001</v>
      </c>
      <c r="AK19" s="71">
        <f t="shared" si="2"/>
        <v>7.1566287530400008E-2</v>
      </c>
      <c r="AL19" s="71">
        <f t="shared" si="2"/>
        <v>1.4909643235500001</v>
      </c>
      <c r="AM19" s="71">
        <f t="shared" si="2"/>
        <v>0.6321688731852001</v>
      </c>
      <c r="AN19" s="71">
        <f t="shared" si="2"/>
        <v>0.2504820063564</v>
      </c>
      <c r="AO19" s="71">
        <f t="shared" si="2"/>
        <v>1.9054524054969</v>
      </c>
      <c r="AP19" s="71">
        <f t="shared" si="2"/>
        <v>5.9638572942E-2</v>
      </c>
      <c r="AQ19" s="71">
        <f t="shared" si="2"/>
        <v>0.95421716707199999</v>
      </c>
      <c r="AR19" s="71">
        <f t="shared" si="2"/>
        <v>5.9638572942E-2</v>
      </c>
      <c r="AS19" s="71">
        <f t="shared" si="2"/>
        <v>1.1331328858980001</v>
      </c>
      <c r="AT19" s="71">
        <f t="shared" si="2"/>
        <v>3.3695793712230002</v>
      </c>
      <c r="AU19" s="71">
        <f t="shared" si="2"/>
        <v>0.14909643235500003</v>
      </c>
      <c r="AV19" s="71">
        <f t="shared" si="2"/>
        <v>3.2801215118100004E-2</v>
      </c>
      <c r="AW19" s="71">
        <f t="shared" si="2"/>
        <v>0.90650630871839999</v>
      </c>
      <c r="AX19" s="71">
        <f t="shared" si="2"/>
        <v>0.48605436947730007</v>
      </c>
      <c r="AY19" s="71">
        <f t="shared" si="2"/>
        <v>0.25942779229770002</v>
      </c>
      <c r="AZ19" s="71">
        <f t="shared" si="2"/>
        <v>0.41150615329980006</v>
      </c>
      <c r="BA19" s="71">
        <f t="shared" si="2"/>
        <v>5.3674715647800006E-2</v>
      </c>
    </row>
    <row r="20" spans="1:53" x14ac:dyDescent="0.2">
      <c r="A20" s="52">
        <v>17</v>
      </c>
      <c r="B20" t="s">
        <v>699</v>
      </c>
      <c r="C20" s="71">
        <f t="shared" ref="C20:C25" si="3">SUM(D20:BA20)</f>
        <v>10.6876891899316</v>
      </c>
      <c r="D20" s="71">
        <f t="shared" si="1"/>
        <v>0.17430697114599999</v>
      </c>
      <c r="E20" s="71">
        <f t="shared" ref="E20:BA20" si="4">E6*$C13/1000000000</f>
        <v>5.5472875488799998E-2</v>
      </c>
      <c r="F20" s="71">
        <f t="shared" si="4"/>
        <v>0.31795118313419996</v>
      </c>
      <c r="G20" s="71">
        <f t="shared" si="4"/>
        <v>0.15649457993399998</v>
      </c>
      <c r="H20" s="71">
        <f t="shared" si="4"/>
        <v>0.97522841885699996</v>
      </c>
      <c r="I20" s="71">
        <f t="shared" si="4"/>
        <v>0.29072367085299999</v>
      </c>
      <c r="J20" s="71">
        <f t="shared" si="4"/>
        <v>8.7662411036199997E-2</v>
      </c>
      <c r="K20" s="71">
        <f t="shared" si="4"/>
        <v>3.9060029300599999E-2</v>
      </c>
      <c r="L20" s="71">
        <f t="shared" si="4"/>
        <v>0.67089099186339995</v>
      </c>
      <c r="M20" s="71">
        <f t="shared" si="4"/>
        <v>0.2628600017428</v>
      </c>
      <c r="N20" s="71">
        <f t="shared" si="4"/>
        <v>4.4912672127400001E-2</v>
      </c>
      <c r="O20" s="71">
        <f t="shared" si="4"/>
        <v>5.6490726415200004E-2</v>
      </c>
      <c r="P20" s="71">
        <f t="shared" si="4"/>
        <v>0.38551103837400003</v>
      </c>
      <c r="Q20" s="71">
        <f t="shared" si="4"/>
        <v>0.22367274107640001</v>
      </c>
      <c r="R20" s="71">
        <f t="shared" si="4"/>
        <v>0.1101823627828</v>
      </c>
      <c r="S20" s="71">
        <f t="shared" si="4"/>
        <v>0.1427535924276</v>
      </c>
      <c r="T20" s="71">
        <f t="shared" si="4"/>
        <v>0.19071981733419999</v>
      </c>
      <c r="U20" s="71">
        <f t="shared" si="4"/>
        <v>0.16056598363960001</v>
      </c>
      <c r="V20" s="71">
        <f t="shared" si="4"/>
        <v>5.0129158125200003E-2</v>
      </c>
      <c r="W20" s="71">
        <f t="shared" si="4"/>
        <v>0.15267763896</v>
      </c>
      <c r="X20" s="71">
        <f t="shared" si="4"/>
        <v>0.21044067903319999</v>
      </c>
      <c r="Y20" s="71">
        <f t="shared" si="4"/>
        <v>0.5526930530352</v>
      </c>
      <c r="Z20" s="71">
        <f t="shared" si="4"/>
        <v>0.26883987593539999</v>
      </c>
      <c r="AA20" s="71">
        <f t="shared" si="4"/>
        <v>0.10980066868539999</v>
      </c>
      <c r="AB20" s="71">
        <f t="shared" si="4"/>
        <v>0.18690287636019998</v>
      </c>
      <c r="AC20" s="71">
        <f t="shared" si="4"/>
        <v>4.6566679882799999E-2</v>
      </c>
      <c r="AD20" s="71">
        <f t="shared" si="4"/>
        <v>8.8934724694199996E-2</v>
      </c>
      <c r="AE20" s="71">
        <f t="shared" si="4"/>
        <v>0.1161622369754</v>
      </c>
      <c r="AF20" s="71">
        <f t="shared" si="4"/>
        <v>7.3921423529799996E-2</v>
      </c>
      <c r="AG20" s="71">
        <f t="shared" si="4"/>
        <v>0.12799475399480001</v>
      </c>
      <c r="AH20" s="71">
        <f t="shared" si="4"/>
        <v>0.1089100491248</v>
      </c>
      <c r="AI20" s="71">
        <f t="shared" si="4"/>
        <v>0.35001348731580001</v>
      </c>
      <c r="AJ20" s="71">
        <f t="shared" si="4"/>
        <v>0.24924624560219999</v>
      </c>
      <c r="AK20" s="71">
        <f t="shared" si="4"/>
        <v>3.3843543302799997E-2</v>
      </c>
      <c r="AL20" s="71">
        <f t="shared" si="4"/>
        <v>0.46808419477819996</v>
      </c>
      <c r="AM20" s="71">
        <f t="shared" si="4"/>
        <v>0.17939622577799999</v>
      </c>
      <c r="AN20" s="71">
        <f t="shared" si="4"/>
        <v>0.15763966222620002</v>
      </c>
      <c r="AO20" s="71">
        <f t="shared" si="4"/>
        <v>0.42482553040619997</v>
      </c>
      <c r="AP20" s="71">
        <f t="shared" si="4"/>
        <v>4.0586805690199998E-2</v>
      </c>
      <c r="AQ20" s="71">
        <f t="shared" si="4"/>
        <v>0.21349423181240001</v>
      </c>
      <c r="AR20" s="71">
        <f t="shared" si="4"/>
        <v>6.3997376997400005E-2</v>
      </c>
      <c r="AS20" s="71">
        <f t="shared" si="4"/>
        <v>0.26654971135100003</v>
      </c>
      <c r="AT20" s="71">
        <f t="shared" si="4"/>
        <v>0.95245400437880001</v>
      </c>
      <c r="AU20" s="71">
        <f t="shared" si="4"/>
        <v>0.1146354605858</v>
      </c>
      <c r="AV20" s="71">
        <f t="shared" si="4"/>
        <v>1.8575779406799997E-2</v>
      </c>
      <c r="AW20" s="71">
        <f t="shared" si="4"/>
        <v>0.2024251029878</v>
      </c>
      <c r="AX20" s="71">
        <f t="shared" si="4"/>
        <v>0.29517676865600001</v>
      </c>
      <c r="AY20" s="71">
        <f t="shared" si="4"/>
        <v>4.7330068077600006E-2</v>
      </c>
      <c r="AZ20" s="71">
        <f t="shared" si="4"/>
        <v>0.15140532530199999</v>
      </c>
      <c r="BA20" s="71">
        <f t="shared" si="4"/>
        <v>1.8575779406799997E-2</v>
      </c>
    </row>
    <row r="21" spans="1:53" x14ac:dyDescent="0.2">
      <c r="A21" s="52">
        <v>18</v>
      </c>
      <c r="B21" t="s">
        <v>700</v>
      </c>
      <c r="C21" s="71">
        <f t="shared" si="3"/>
        <v>3.5310596822791998</v>
      </c>
      <c r="D21" s="71">
        <f t="shared" si="1"/>
        <v>4.9399673778399995E-2</v>
      </c>
      <c r="E21" s="71">
        <f t="shared" ref="E21:BA21" si="5">E7*$C14/1000000000</f>
        <v>5.7998801663999991E-3</v>
      </c>
      <c r="F21" s="71">
        <f t="shared" si="5"/>
        <v>7.1944694077999999E-2</v>
      </c>
      <c r="G21" s="71">
        <f t="shared" si="5"/>
        <v>2.37331901948E-2</v>
      </c>
      <c r="H21" s="71">
        <f t="shared" si="5"/>
        <v>0.54666891339239998</v>
      </c>
      <c r="I21" s="71">
        <f t="shared" si="5"/>
        <v>3.3218410883600002E-2</v>
      </c>
      <c r="J21" s="71">
        <f t="shared" si="5"/>
        <v>3.7145413079600002E-2</v>
      </c>
      <c r="K21" s="71">
        <f t="shared" si="5"/>
        <v>1.5687870311199999E-2</v>
      </c>
      <c r="L21" s="71">
        <f t="shared" si="5"/>
        <v>0.25799397504080002</v>
      </c>
      <c r="M21" s="71">
        <f t="shared" si="5"/>
        <v>0.1235092536824</v>
      </c>
      <c r="N21" s="71">
        <f t="shared" si="5"/>
        <v>1.0008820981599999E-2</v>
      </c>
      <c r="O21" s="71">
        <f t="shared" si="5"/>
        <v>1.8930164431999999E-3</v>
      </c>
      <c r="P21" s="71">
        <f t="shared" si="5"/>
        <v>0.20356975229880001</v>
      </c>
      <c r="Q21" s="71">
        <f t="shared" si="5"/>
        <v>7.0253062362800003E-2</v>
      </c>
      <c r="R21" s="71">
        <f t="shared" si="5"/>
        <v>8.2970507936000002E-3</v>
      </c>
      <c r="S21" s="71">
        <f t="shared" si="5"/>
        <v>1.4580254307199999E-2</v>
      </c>
      <c r="T21" s="71">
        <f t="shared" si="5"/>
        <v>3.7306520861999995E-2</v>
      </c>
      <c r="U21" s="71">
        <f t="shared" si="5"/>
        <v>5.2712452553999999E-2</v>
      </c>
      <c r="V21" s="71">
        <f t="shared" si="5"/>
        <v>3.7256174679999999E-3</v>
      </c>
      <c r="W21" s="71">
        <f t="shared" si="5"/>
        <v>0.1041360428488</v>
      </c>
      <c r="X21" s="71">
        <f t="shared" si="5"/>
        <v>6.8148591955199997E-2</v>
      </c>
      <c r="Y21" s="71">
        <f t="shared" si="5"/>
        <v>0.1033405731732</v>
      </c>
      <c r="Z21" s="71">
        <f t="shared" si="5"/>
        <v>3.4084365214000004E-2</v>
      </c>
      <c r="AA21" s="71">
        <f t="shared" si="5"/>
        <v>2.5132814054400002E-2</v>
      </c>
      <c r="AB21" s="71">
        <f t="shared" si="5"/>
        <v>6.3184458409999991E-2</v>
      </c>
      <c r="AC21" s="71">
        <f t="shared" si="5"/>
        <v>1.7218394243999999E-3</v>
      </c>
      <c r="AD21" s="71">
        <f t="shared" si="5"/>
        <v>9.9987517452000008E-3</v>
      </c>
      <c r="AE21" s="71">
        <f t="shared" si="5"/>
        <v>4.3378270411200001E-2</v>
      </c>
      <c r="AF21" s="71">
        <f t="shared" si="5"/>
        <v>5.1252413275999992E-3</v>
      </c>
      <c r="AG21" s="71">
        <f t="shared" si="5"/>
        <v>0.1229353072076</v>
      </c>
      <c r="AH21" s="71">
        <f t="shared" si="5"/>
        <v>1.7319086607999998E-2</v>
      </c>
      <c r="AI21" s="71">
        <f t="shared" si="5"/>
        <v>0.28601665994199998</v>
      </c>
      <c r="AJ21" s="71">
        <f t="shared" si="5"/>
        <v>9.5134145507200008E-2</v>
      </c>
      <c r="AK21" s="71">
        <f t="shared" si="5"/>
        <v>9.1630051240000003E-4</v>
      </c>
      <c r="AL21" s="71">
        <f t="shared" si="5"/>
        <v>0.16101715927239998</v>
      </c>
      <c r="AM21" s="71">
        <f t="shared" si="5"/>
        <v>3.3107649283200001E-2</v>
      </c>
      <c r="AN21" s="71">
        <f t="shared" si="5"/>
        <v>2.25248818268E-2</v>
      </c>
      <c r="AO21" s="71">
        <f t="shared" si="5"/>
        <v>0.16276920640599998</v>
      </c>
      <c r="AP21" s="71">
        <f t="shared" si="5"/>
        <v>7.4915118815999998E-3</v>
      </c>
      <c r="AQ21" s="71">
        <f t="shared" si="5"/>
        <v>4.6630633768400001E-2</v>
      </c>
      <c r="AR21" s="71">
        <f t="shared" si="5"/>
        <v>1.6815624788E-3</v>
      </c>
      <c r="AS21" s="71">
        <f t="shared" si="5"/>
        <v>8.1379568584799999E-2</v>
      </c>
      <c r="AT21" s="71">
        <f t="shared" si="5"/>
        <v>0.28818154576799998</v>
      </c>
      <c r="AU21" s="71">
        <f t="shared" si="5"/>
        <v>1.08647060756E-2</v>
      </c>
      <c r="AV21" s="71">
        <f t="shared" si="5"/>
        <v>9.9685440359999992E-4</v>
      </c>
      <c r="AW21" s="71">
        <f t="shared" si="5"/>
        <v>5.4625607469999997E-2</v>
      </c>
      <c r="AX21" s="71">
        <f t="shared" si="5"/>
        <v>5.6659593222800002E-2</v>
      </c>
      <c r="AY21" s="71">
        <f t="shared" si="5"/>
        <v>8.0755275927999991E-3</v>
      </c>
      <c r="AZ21" s="71">
        <f t="shared" si="5"/>
        <v>4.631848744E-2</v>
      </c>
      <c r="BA21" s="71">
        <f t="shared" si="5"/>
        <v>7.1491578440000003E-4</v>
      </c>
    </row>
    <row r="22" spans="1:53" x14ac:dyDescent="0.2">
      <c r="A22" s="52">
        <v>19</v>
      </c>
      <c r="B22" t="s">
        <v>701</v>
      </c>
      <c r="C22" s="71">
        <f t="shared" si="3"/>
        <v>9.1552433172114984</v>
      </c>
      <c r="D22" s="71">
        <f t="shared" si="1"/>
        <v>0.16604580134409999</v>
      </c>
      <c r="E22" s="71">
        <f t="shared" ref="E22:BA22" si="6">E8*$C15/1000000000</f>
        <v>4.1221288627400002E-2</v>
      </c>
      <c r="F22" s="71">
        <f t="shared" si="6"/>
        <v>0.20461592825479999</v>
      </c>
      <c r="G22" s="71">
        <f t="shared" si="6"/>
        <v>0.12737793575260001</v>
      </c>
      <c r="H22" s="71">
        <f t="shared" si="6"/>
        <v>1.1141598744445</v>
      </c>
      <c r="I22" s="71">
        <f t="shared" si="6"/>
        <v>0.12640054894460001</v>
      </c>
      <c r="J22" s="71">
        <f t="shared" si="6"/>
        <v>6.575369750820001E-2</v>
      </c>
      <c r="K22" s="71">
        <f t="shared" si="6"/>
        <v>3.9474209708099998E-2</v>
      </c>
      <c r="L22" s="71">
        <f t="shared" si="6"/>
        <v>0.8102414464969</v>
      </c>
      <c r="M22" s="71">
        <f t="shared" si="6"/>
        <v>0.26732750932310001</v>
      </c>
      <c r="N22" s="71">
        <f t="shared" si="6"/>
        <v>2.5631969039800001E-2</v>
      </c>
      <c r="O22" s="71">
        <f t="shared" si="6"/>
        <v>3.09709444785E-2</v>
      </c>
      <c r="P22" s="71">
        <f t="shared" si="6"/>
        <v>0.37256763387450004</v>
      </c>
      <c r="Q22" s="71">
        <f t="shared" si="6"/>
        <v>0.1536696408878</v>
      </c>
      <c r="R22" s="71">
        <f t="shared" si="6"/>
        <v>7.5124393529899997E-2</v>
      </c>
      <c r="S22" s="71">
        <f t="shared" si="6"/>
        <v>9.1972098632799995E-2</v>
      </c>
      <c r="T22" s="71">
        <f t="shared" si="6"/>
        <v>6.2430582360999999E-2</v>
      </c>
      <c r="U22" s="71">
        <f t="shared" si="6"/>
        <v>0.224432445787</v>
      </c>
      <c r="V22" s="71">
        <f t="shared" si="6"/>
        <v>1.0360300164799999E-2</v>
      </c>
      <c r="W22" s="71">
        <f t="shared" si="6"/>
        <v>0.20617974714759998</v>
      </c>
      <c r="X22" s="71">
        <f t="shared" si="6"/>
        <v>0.2397774186726</v>
      </c>
      <c r="Y22" s="71">
        <f t="shared" si="6"/>
        <v>0.34827957169570001</v>
      </c>
      <c r="Z22" s="71">
        <f t="shared" si="6"/>
        <v>8.2467011925E-2</v>
      </c>
      <c r="AA22" s="71">
        <f t="shared" si="6"/>
        <v>5.3976186471799997E-2</v>
      </c>
      <c r="AB22" s="71">
        <f t="shared" si="6"/>
        <v>0.2294171185078</v>
      </c>
      <c r="AC22" s="71">
        <f t="shared" si="6"/>
        <v>2.6743746533899999E-2</v>
      </c>
      <c r="AD22" s="71">
        <f t="shared" si="6"/>
        <v>3.5576879811200002E-2</v>
      </c>
      <c r="AE22" s="71">
        <f t="shared" si="6"/>
        <v>0.1232973458292</v>
      </c>
      <c r="AF22" s="71">
        <f t="shared" si="6"/>
        <v>2.14780751058E-2</v>
      </c>
      <c r="AG22" s="71">
        <f t="shared" si="6"/>
        <v>0.1662534960408</v>
      </c>
      <c r="AH22" s="71">
        <f t="shared" si="6"/>
        <v>0.112032962867</v>
      </c>
      <c r="AI22" s="71">
        <f t="shared" si="6"/>
        <v>0.55635300578379998</v>
      </c>
      <c r="AJ22" s="71">
        <f t="shared" si="6"/>
        <v>0.2628681820116</v>
      </c>
      <c r="AK22" s="71">
        <f t="shared" si="6"/>
        <v>1.6102447661799999E-2</v>
      </c>
      <c r="AL22" s="71">
        <f t="shared" si="6"/>
        <v>0.1838464585848</v>
      </c>
      <c r="AM22" s="71">
        <f t="shared" si="6"/>
        <v>0.15150717257509999</v>
      </c>
      <c r="AN22" s="71">
        <f t="shared" si="6"/>
        <v>7.4318049413300002E-2</v>
      </c>
      <c r="AO22" s="71">
        <f t="shared" si="6"/>
        <v>0.3182127100146</v>
      </c>
      <c r="AP22" s="71">
        <f t="shared" si="6"/>
        <v>1.8362654655299997E-2</v>
      </c>
      <c r="AQ22" s="71">
        <f t="shared" si="6"/>
        <v>0.25980163090149999</v>
      </c>
      <c r="AR22" s="71">
        <f t="shared" si="6"/>
        <v>1.7287529166500001E-2</v>
      </c>
      <c r="AS22" s="71">
        <f t="shared" si="6"/>
        <v>0.34621484206379999</v>
      </c>
      <c r="AT22" s="71">
        <f t="shared" si="6"/>
        <v>0.82464568457980003</v>
      </c>
      <c r="AU22" s="71">
        <f t="shared" si="6"/>
        <v>4.2968367546699998E-2</v>
      </c>
      <c r="AV22" s="71">
        <f t="shared" si="6"/>
        <v>8.1733971819000009E-3</v>
      </c>
      <c r="AW22" s="71">
        <f t="shared" si="6"/>
        <v>0.10621751135940001</v>
      </c>
      <c r="AX22" s="71">
        <f t="shared" si="6"/>
        <v>0.1471211492742</v>
      </c>
      <c r="AY22" s="71">
        <f t="shared" si="6"/>
        <v>5.1752631483600001E-2</v>
      </c>
      <c r="AZ22" s="71">
        <f t="shared" si="6"/>
        <v>0.101892574734</v>
      </c>
      <c r="BA22" s="71">
        <f t="shared" si="6"/>
        <v>1.2339508451E-2</v>
      </c>
    </row>
    <row r="23" spans="1:53" x14ac:dyDescent="0.2">
      <c r="A23" s="52">
        <v>20</v>
      </c>
      <c r="B23" t="s">
        <v>702</v>
      </c>
      <c r="C23" s="71">
        <f t="shared" si="3"/>
        <v>4.3247077415450015</v>
      </c>
      <c r="D23" s="71">
        <f t="shared" si="1"/>
        <v>0.1013495262205</v>
      </c>
      <c r="E23" s="71">
        <f t="shared" ref="E23:BA23" si="7">E9*$C16/1000000000</f>
        <v>5.6544308140000004E-3</v>
      </c>
      <c r="F23" s="71">
        <f t="shared" si="7"/>
        <v>0.10843937355250001</v>
      </c>
      <c r="G23" s="71">
        <f t="shared" si="7"/>
        <v>6.7440784912000021E-2</v>
      </c>
      <c r="H23" s="71">
        <f t="shared" si="7"/>
        <v>0.45615118146250005</v>
      </c>
      <c r="I23" s="71">
        <f t="shared" si="7"/>
        <v>5.1002886637500001E-2</v>
      </c>
      <c r="J23" s="71">
        <f t="shared" si="7"/>
        <v>3.0667158426000003E-2</v>
      </c>
      <c r="K23" s="71">
        <f t="shared" si="7"/>
        <v>1.5101612731500002E-2</v>
      </c>
      <c r="L23" s="71">
        <f t="shared" si="7"/>
        <v>0.33738434293450004</v>
      </c>
      <c r="M23" s="71">
        <f t="shared" si="7"/>
        <v>0.19035922867300004</v>
      </c>
      <c r="N23" s="71">
        <f t="shared" si="7"/>
        <v>1.61880882175E-2</v>
      </c>
      <c r="O23" s="71">
        <f t="shared" si="7"/>
        <v>1.3709813842500002E-2</v>
      </c>
      <c r="P23" s="71">
        <f t="shared" si="7"/>
        <v>0.15408720492050001</v>
      </c>
      <c r="Q23" s="71">
        <f t="shared" si="7"/>
        <v>0.10026305073450001</v>
      </c>
      <c r="R23" s="71">
        <f t="shared" si="7"/>
        <v>3.4840572473500003E-2</v>
      </c>
      <c r="S23" s="71">
        <f t="shared" si="7"/>
        <v>3.7098776084000008E-2</v>
      </c>
      <c r="T23" s="71">
        <f t="shared" si="7"/>
        <v>6.4930788625000013E-2</v>
      </c>
      <c r="U23" s="71">
        <f t="shared" si="7"/>
        <v>9.1680290919000013E-2</v>
      </c>
      <c r="V23" s="71">
        <f t="shared" si="7"/>
        <v>1.5593302367500001E-2</v>
      </c>
      <c r="W23" s="71">
        <f t="shared" si="7"/>
        <v>7.1023378348500019E-2</v>
      </c>
      <c r="X23" s="71">
        <f t="shared" si="7"/>
        <v>7.2173297658500016E-2</v>
      </c>
      <c r="Y23" s="71">
        <f t="shared" si="7"/>
        <v>0.13829762322250003</v>
      </c>
      <c r="Z23" s="71">
        <f t="shared" si="7"/>
        <v>5.0915651379500007E-2</v>
      </c>
      <c r="AA23" s="71">
        <f t="shared" si="7"/>
        <v>6.0910036279000004E-2</v>
      </c>
      <c r="AB23" s="71">
        <f t="shared" si="7"/>
        <v>8.8970050062500014E-2</v>
      </c>
      <c r="AC23" s="71">
        <f t="shared" si="7"/>
        <v>6.6358274665000013E-3</v>
      </c>
      <c r="AD23" s="71">
        <f t="shared" si="7"/>
        <v>1.7298355137500002E-2</v>
      </c>
      <c r="AE23" s="71">
        <f t="shared" si="7"/>
        <v>4.0330445869000003E-2</v>
      </c>
      <c r="AF23" s="71">
        <f t="shared" si="7"/>
        <v>1.2379476158000002E-2</v>
      </c>
      <c r="AG23" s="71">
        <f t="shared" si="7"/>
        <v>8.5724501941000009E-2</v>
      </c>
      <c r="AH23" s="71">
        <f t="shared" si="7"/>
        <v>4.246572707050001E-2</v>
      </c>
      <c r="AI23" s="71">
        <f t="shared" si="7"/>
        <v>0.12932032212650002</v>
      </c>
      <c r="AJ23" s="71">
        <f t="shared" si="7"/>
        <v>0.20923376631300003</v>
      </c>
      <c r="AK23" s="71">
        <f t="shared" si="7"/>
        <v>4.873278731000001E-3</v>
      </c>
      <c r="AL23" s="71">
        <f t="shared" si="7"/>
        <v>0.22383972416950002</v>
      </c>
      <c r="AM23" s="71">
        <f t="shared" si="7"/>
        <v>7.2290272209000001E-2</v>
      </c>
      <c r="AN23" s="71">
        <f t="shared" si="7"/>
        <v>4.1048154128000003E-2</v>
      </c>
      <c r="AO23" s="71">
        <f t="shared" si="7"/>
        <v>0.11492452193700002</v>
      </c>
      <c r="AP23" s="71">
        <f t="shared" si="7"/>
        <v>1.3553186902000003E-2</v>
      </c>
      <c r="AQ23" s="71">
        <f t="shared" si="7"/>
        <v>9.3879015944500016E-2</v>
      </c>
      <c r="AR23" s="71">
        <f t="shared" si="7"/>
        <v>5.8031272765000008E-3</v>
      </c>
      <c r="AS23" s="71">
        <f t="shared" si="7"/>
        <v>0.12456798318500002</v>
      </c>
      <c r="AT23" s="71">
        <f t="shared" si="7"/>
        <v>0.42779972261250004</v>
      </c>
      <c r="AU23" s="71">
        <f t="shared" si="7"/>
        <v>2.6111098815000004E-2</v>
      </c>
      <c r="AV23" s="71">
        <f t="shared" si="7"/>
        <v>7.609293641000001E-3</v>
      </c>
      <c r="AW23" s="71">
        <f t="shared" si="7"/>
        <v>6.0779183392000002E-2</v>
      </c>
      <c r="AX23" s="71">
        <f t="shared" si="7"/>
        <v>0.11213894153950001</v>
      </c>
      <c r="AY23" s="71">
        <f t="shared" si="7"/>
        <v>2.0311936777500005E-2</v>
      </c>
      <c r="AZ23" s="71">
        <f t="shared" si="7"/>
        <v>5.3861823956500007E-2</v>
      </c>
      <c r="BA23" s="71">
        <f t="shared" si="7"/>
        <v>3.6956027480000006E-3</v>
      </c>
    </row>
    <row r="24" spans="1:53" x14ac:dyDescent="0.2">
      <c r="A24" s="52">
        <v>22</v>
      </c>
      <c r="B24" t="s">
        <v>754</v>
      </c>
      <c r="C24" s="71">
        <f t="shared" si="3"/>
        <v>2.5837231085888006</v>
      </c>
      <c r="D24" s="71">
        <f t="shared" si="1"/>
        <v>4.6960360401600003E-2</v>
      </c>
      <c r="E24" s="71">
        <f t="shared" ref="E24:BA24" si="8">E10*$C17/1000000000</f>
        <v>6.2610441823999999E-3</v>
      </c>
      <c r="F24" s="71">
        <f t="shared" si="8"/>
        <v>6.5501970239999999E-2</v>
      </c>
      <c r="G24" s="71">
        <f t="shared" si="8"/>
        <v>2.9777263112000001E-2</v>
      </c>
      <c r="H24" s="71">
        <f t="shared" si="8"/>
        <v>0.25159880016800001</v>
      </c>
      <c r="I24" s="71">
        <f t="shared" si="8"/>
        <v>4.04872989024E-2</v>
      </c>
      <c r="J24" s="71">
        <f t="shared" si="8"/>
        <v>2.3211048875200001E-2</v>
      </c>
      <c r="K24" s="71">
        <f t="shared" si="8"/>
        <v>9.2735447056000002E-3</v>
      </c>
      <c r="L24" s="71">
        <f t="shared" si="8"/>
        <v>0.19448605588480003</v>
      </c>
      <c r="M24" s="71">
        <f t="shared" si="8"/>
        <v>9.7596671140799993E-2</v>
      </c>
      <c r="N24" s="71">
        <f t="shared" si="8"/>
        <v>1.3167834943999999E-2</v>
      </c>
      <c r="O24" s="71">
        <f t="shared" si="8"/>
        <v>1.03812614224E-2</v>
      </c>
      <c r="P24" s="71">
        <f t="shared" si="8"/>
        <v>0.1000494122272</v>
      </c>
      <c r="Q24" s="71">
        <f t="shared" si="8"/>
        <v>5.9276332528000006E-2</v>
      </c>
      <c r="R24" s="71">
        <f t="shared" si="8"/>
        <v>2.1274230643200002E-2</v>
      </c>
      <c r="S24" s="71">
        <f t="shared" si="8"/>
        <v>2.6664022750399998E-2</v>
      </c>
      <c r="T24" s="71">
        <f t="shared" si="8"/>
        <v>3.35459446816E-2</v>
      </c>
      <c r="U24" s="71">
        <f t="shared" si="8"/>
        <v>4.7703474774400005E-2</v>
      </c>
      <c r="V24" s="71">
        <f t="shared" si="8"/>
        <v>1.0489588361600001E-2</v>
      </c>
      <c r="W24" s="71">
        <f t="shared" si="8"/>
        <v>4.8452490225600005E-2</v>
      </c>
      <c r="X24" s="71">
        <f t="shared" si="8"/>
        <v>4.28435152064E-2</v>
      </c>
      <c r="Y24" s="71">
        <f t="shared" si="8"/>
        <v>6.6035596329600002E-2</v>
      </c>
      <c r="Z24" s="71">
        <f t="shared" si="8"/>
        <v>4.3142784182400001E-2</v>
      </c>
      <c r="AA24" s="71">
        <f t="shared" si="8"/>
        <v>2.2836751902400001E-2</v>
      </c>
      <c r="AB24" s="71">
        <f t="shared" si="8"/>
        <v>5.8538276222400001E-2</v>
      </c>
      <c r="AC24" s="71">
        <f t="shared" si="8"/>
        <v>8.0461203984000008E-3</v>
      </c>
      <c r="AD24" s="71">
        <f t="shared" si="8"/>
        <v>1.6042503135999999E-2</v>
      </c>
      <c r="AE24" s="71">
        <f t="shared" si="8"/>
        <v>1.6925978873600003E-2</v>
      </c>
      <c r="AF24" s="71">
        <f t="shared" si="8"/>
        <v>1.0705399228800001E-2</v>
      </c>
      <c r="AG24" s="71">
        <f t="shared" si="8"/>
        <v>5.4402041769600007E-2</v>
      </c>
      <c r="AH24" s="71">
        <f t="shared" si="8"/>
        <v>1.9696956688000002E-2</v>
      </c>
      <c r="AI24" s="71">
        <f t="shared" si="8"/>
        <v>0.12112427072160001</v>
      </c>
      <c r="AJ24" s="71">
        <f t="shared" si="8"/>
        <v>9.0814646036799992E-2</v>
      </c>
      <c r="AK24" s="71">
        <f t="shared" si="8"/>
        <v>4.1691118896000001E-3</v>
      </c>
      <c r="AL24" s="71">
        <f t="shared" si="8"/>
        <v>0.10400397776640001</v>
      </c>
      <c r="AM24" s="71">
        <f t="shared" si="8"/>
        <v>3.3747424358400002E-2</v>
      </c>
      <c r="AN24" s="71">
        <f t="shared" si="8"/>
        <v>3.8803384030399998E-2</v>
      </c>
      <c r="AO24" s="71">
        <f t="shared" si="8"/>
        <v>8.7927754182400009E-2</v>
      </c>
      <c r="AP24" s="71">
        <f t="shared" si="8"/>
        <v>7.9095525840000014E-3</v>
      </c>
      <c r="AQ24" s="71">
        <f t="shared" si="8"/>
        <v>5.1531167127999995E-2</v>
      </c>
      <c r="AR24" s="71">
        <f t="shared" si="8"/>
        <v>4.8148584687999997E-3</v>
      </c>
      <c r="AS24" s="71">
        <f t="shared" si="8"/>
        <v>6.4881513996800005E-2</v>
      </c>
      <c r="AT24" s="71">
        <f t="shared" si="8"/>
        <v>0.25843815003359999</v>
      </c>
      <c r="AU24" s="71">
        <f t="shared" si="8"/>
        <v>2.7282792971199999E-2</v>
      </c>
      <c r="AV24" s="71">
        <f t="shared" si="8"/>
        <v>4.5185400320000004E-3</v>
      </c>
      <c r="AW24" s="71">
        <f t="shared" si="8"/>
        <v>6.0054431865600007E-2</v>
      </c>
      <c r="AX24" s="71">
        <f t="shared" si="8"/>
        <v>6.8632913836800008E-2</v>
      </c>
      <c r="AY24" s="71">
        <f t="shared" si="8"/>
        <v>1.12356532736E-2</v>
      </c>
      <c r="AZ24" s="71">
        <f t="shared" si="8"/>
        <v>4.4035533043200001E-2</v>
      </c>
      <c r="BA24" s="71">
        <f t="shared" si="8"/>
        <v>4.4228582608000005E-3</v>
      </c>
    </row>
    <row r="25" spans="1:53" x14ac:dyDescent="0.2">
      <c r="A25" s="52">
        <v>23</v>
      </c>
      <c r="B25" t="s">
        <v>755</v>
      </c>
      <c r="C25" s="71">
        <f t="shared" si="3"/>
        <v>4.0017486935810007</v>
      </c>
      <c r="D25" s="71">
        <f t="shared" si="1"/>
        <v>5.9920770522000004E-2</v>
      </c>
      <c r="E25" s="71">
        <f t="shared" ref="E25:BA25" si="9">E11*$C18/1000000000</f>
        <v>7.8006030280000005E-3</v>
      </c>
      <c r="F25" s="71">
        <f t="shared" si="9"/>
        <v>0.11128223383100001</v>
      </c>
      <c r="G25" s="71">
        <f t="shared" si="9"/>
        <v>3.2421958839000002E-2</v>
      </c>
      <c r="H25" s="71">
        <f t="shared" si="9"/>
        <v>0.82525659210200009</v>
      </c>
      <c r="I25" s="71">
        <f t="shared" si="9"/>
        <v>6.1831581062000006E-2</v>
      </c>
      <c r="J25" s="71">
        <f t="shared" si="9"/>
        <v>3.7485606770000006E-2</v>
      </c>
      <c r="K25" s="71">
        <f t="shared" si="9"/>
        <v>8.6829478950000011E-3</v>
      </c>
      <c r="L25" s="71">
        <f t="shared" si="9"/>
        <v>0.22267124825100004</v>
      </c>
      <c r="M25" s="71">
        <f t="shared" si="9"/>
        <v>0.16679128001800003</v>
      </c>
      <c r="N25" s="71">
        <f t="shared" si="9"/>
        <v>2.5115918539000005E-2</v>
      </c>
      <c r="O25" s="71">
        <f t="shared" si="9"/>
        <v>7.4802612610000005E-3</v>
      </c>
      <c r="P25" s="71">
        <f t="shared" si="9"/>
        <v>0.16515585099700003</v>
      </c>
      <c r="Q25" s="71">
        <f t="shared" si="9"/>
        <v>8.3260759265000012E-2</v>
      </c>
      <c r="R25" s="71">
        <f t="shared" si="9"/>
        <v>2.2468883938000006E-2</v>
      </c>
      <c r="S25" s="71">
        <f t="shared" si="9"/>
        <v>3.7564287204000006E-2</v>
      </c>
      <c r="T25" s="71">
        <f t="shared" si="9"/>
        <v>3.7659827731000003E-2</v>
      </c>
      <c r="U25" s="71">
        <f t="shared" si="9"/>
        <v>5.1215342503000007E-2</v>
      </c>
      <c r="V25" s="71">
        <f t="shared" si="9"/>
        <v>6.0583934180000005E-3</v>
      </c>
      <c r="W25" s="71">
        <f t="shared" si="9"/>
        <v>9.0325138232000002E-2</v>
      </c>
      <c r="X25" s="71">
        <f t="shared" si="9"/>
        <v>6.0595174242000005E-2</v>
      </c>
      <c r="Y25" s="71">
        <f t="shared" si="9"/>
        <v>0.13998373214800003</v>
      </c>
      <c r="Z25" s="71">
        <f t="shared" si="9"/>
        <v>4.579201258800001E-2</v>
      </c>
      <c r="AA25" s="71">
        <f t="shared" si="9"/>
        <v>2.7583112148000005E-2</v>
      </c>
      <c r="AB25" s="71">
        <f t="shared" si="9"/>
        <v>8.6160695261000009E-2</v>
      </c>
      <c r="AC25" s="71">
        <f t="shared" si="9"/>
        <v>8.1434249190000009E-3</v>
      </c>
      <c r="AD25" s="71">
        <f t="shared" si="9"/>
        <v>2.3092707379000006E-2</v>
      </c>
      <c r="AE25" s="71">
        <f t="shared" si="9"/>
        <v>5.3823036887000013E-2</v>
      </c>
      <c r="AF25" s="71">
        <f t="shared" si="9"/>
        <v>6.260714534000001E-3</v>
      </c>
      <c r="AG25" s="71">
        <f t="shared" si="9"/>
        <v>9.7872839865000005E-2</v>
      </c>
      <c r="AH25" s="71">
        <f t="shared" si="9"/>
        <v>3.0348167400000008E-2</v>
      </c>
      <c r="AI25" s="71">
        <f t="shared" si="9"/>
        <v>0.10817997671900001</v>
      </c>
      <c r="AJ25" s="71">
        <f t="shared" si="9"/>
        <v>9.4523301389000017E-2</v>
      </c>
      <c r="AK25" s="71">
        <f t="shared" si="9"/>
        <v>5.5357305350000009E-3</v>
      </c>
      <c r="AL25" s="71">
        <f t="shared" si="9"/>
        <v>0.11761038873700001</v>
      </c>
      <c r="AM25" s="71">
        <f t="shared" si="9"/>
        <v>6.2337383852000015E-2</v>
      </c>
      <c r="AN25" s="71">
        <f t="shared" si="9"/>
        <v>5.1176002286000007E-2</v>
      </c>
      <c r="AO25" s="71">
        <f t="shared" si="9"/>
        <v>9.4821163032000014E-2</v>
      </c>
      <c r="AP25" s="71">
        <f t="shared" si="9"/>
        <v>1.3347573625000001E-2</v>
      </c>
      <c r="AQ25" s="71">
        <f t="shared" si="9"/>
        <v>7.6640362747000007E-2</v>
      </c>
      <c r="AR25" s="71">
        <f t="shared" si="9"/>
        <v>5.3334094190000004E-3</v>
      </c>
      <c r="AS25" s="71">
        <f t="shared" si="9"/>
        <v>7.9478478402000008E-2</v>
      </c>
      <c r="AT25" s="71">
        <f t="shared" si="9"/>
        <v>0.35925486164400006</v>
      </c>
      <c r="AU25" s="71">
        <f t="shared" si="9"/>
        <v>3.4771131797000004E-2</v>
      </c>
      <c r="AV25" s="71">
        <f t="shared" si="9"/>
        <v>2.9673763680000001E-3</v>
      </c>
      <c r="AW25" s="71">
        <f t="shared" si="9"/>
        <v>5.4907702870000005E-2</v>
      </c>
      <c r="AX25" s="71">
        <f t="shared" si="9"/>
        <v>0.13948916942</v>
      </c>
      <c r="AY25" s="71">
        <f t="shared" si="9"/>
        <v>1.1847025348000001E-2</v>
      </c>
      <c r="AZ25" s="71">
        <f t="shared" si="9"/>
        <v>4.6494516463000006E-2</v>
      </c>
      <c r="BA25" s="71">
        <f t="shared" si="9"/>
        <v>2.9280361510000004E-3</v>
      </c>
    </row>
    <row r="28" spans="1:53" x14ac:dyDescent="0.2">
      <c r="A28" s="52">
        <v>1</v>
      </c>
      <c r="B28" s="52" t="s">
        <v>712</v>
      </c>
    </row>
    <row r="29" spans="1:53" x14ac:dyDescent="0.2">
      <c r="A29" s="52">
        <v>2</v>
      </c>
      <c r="B29" s="52" t="s">
        <v>710</v>
      </c>
    </row>
    <row r="30" spans="1:53" x14ac:dyDescent="0.2">
      <c r="A30" s="52">
        <v>3</v>
      </c>
      <c r="B30" s="52" t="s">
        <v>710</v>
      </c>
    </row>
    <row r="31" spans="1:53" x14ac:dyDescent="0.2">
      <c r="A31" s="52">
        <v>4</v>
      </c>
      <c r="B31" s="52" t="s">
        <v>710</v>
      </c>
    </row>
    <row r="32" spans="1:53" x14ac:dyDescent="0.2">
      <c r="A32" s="52">
        <v>5</v>
      </c>
      <c r="B32" s="52" t="s">
        <v>710</v>
      </c>
    </row>
    <row r="33" spans="1:2" x14ac:dyDescent="0.2">
      <c r="A33" s="52">
        <v>6</v>
      </c>
      <c r="B33" s="52" t="s">
        <v>710</v>
      </c>
    </row>
    <row r="34" spans="1:2" x14ac:dyDescent="0.2">
      <c r="A34" s="52">
        <v>7</v>
      </c>
      <c r="B34" s="52" t="s">
        <v>710</v>
      </c>
    </row>
    <row r="35" spans="1:2" x14ac:dyDescent="0.2">
      <c r="A35" s="52">
        <v>8</v>
      </c>
      <c r="B35" s="52" t="s">
        <v>710</v>
      </c>
    </row>
    <row r="36" spans="1:2" x14ac:dyDescent="0.2">
      <c r="A36" s="52">
        <v>9</v>
      </c>
      <c r="B36" s="135" t="s">
        <v>711</v>
      </c>
    </row>
    <row r="37" spans="1:2" x14ac:dyDescent="0.2">
      <c r="A37" s="52">
        <v>10</v>
      </c>
      <c r="B37" s="85" t="s">
        <v>713</v>
      </c>
    </row>
    <row r="38" spans="1:2" x14ac:dyDescent="0.2">
      <c r="A38" s="52">
        <v>11</v>
      </c>
      <c r="B38" s="85" t="s">
        <v>713</v>
      </c>
    </row>
    <row r="39" spans="1:2" x14ac:dyDescent="0.2">
      <c r="A39" s="52">
        <v>12</v>
      </c>
      <c r="B39" s="85" t="s">
        <v>713</v>
      </c>
    </row>
    <row r="40" spans="1:2" x14ac:dyDescent="0.2">
      <c r="A40" s="52">
        <v>13</v>
      </c>
      <c r="B40" s="85" t="s">
        <v>713</v>
      </c>
    </row>
    <row r="41" spans="1:2" x14ac:dyDescent="0.2">
      <c r="A41" s="52">
        <v>14</v>
      </c>
      <c r="B41" s="85" t="s">
        <v>713</v>
      </c>
    </row>
    <row r="42" spans="1:2" x14ac:dyDescent="0.2">
      <c r="A42" s="52">
        <v>15</v>
      </c>
      <c r="B42" s="85" t="s">
        <v>713</v>
      </c>
    </row>
    <row r="43" spans="1:2" x14ac:dyDescent="0.2">
      <c r="A43" s="52">
        <v>16</v>
      </c>
      <c r="B43" s="85" t="s">
        <v>715</v>
      </c>
    </row>
    <row r="44" spans="1:2" x14ac:dyDescent="0.2">
      <c r="A44" s="52">
        <v>17</v>
      </c>
      <c r="B44" s="85" t="s">
        <v>714</v>
      </c>
    </row>
    <row r="45" spans="1:2" x14ac:dyDescent="0.2">
      <c r="A45" s="52">
        <v>18</v>
      </c>
      <c r="B45" s="85" t="s">
        <v>716</v>
      </c>
    </row>
    <row r="46" spans="1:2" x14ac:dyDescent="0.2">
      <c r="A46" s="52">
        <v>19</v>
      </c>
      <c r="B46" s="85" t="s">
        <v>717</v>
      </c>
    </row>
    <row r="47" spans="1:2" x14ac:dyDescent="0.2">
      <c r="A47" s="52">
        <v>20</v>
      </c>
      <c r="B47" s="85" t="s">
        <v>718</v>
      </c>
    </row>
    <row r="48" spans="1:2" x14ac:dyDescent="0.2">
      <c r="A48" s="52">
        <v>22</v>
      </c>
      <c r="B48" s="85" t="s">
        <v>719</v>
      </c>
    </row>
    <row r="49" spans="1:2" x14ac:dyDescent="0.2">
      <c r="A49" s="52">
        <v>23</v>
      </c>
      <c r="B49" s="85" t="s">
        <v>720</v>
      </c>
    </row>
  </sheetData>
  <phoneticPr fontId="103" type="noConversion"/>
  <pageMargins left="0.75" right="0.75" top="1" bottom="1" header="0.3" footer="0.3"/>
  <pageSetup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42"/>
  <sheetViews>
    <sheetView workbookViewId="0"/>
  </sheetViews>
  <sheetFormatPr baseColWidth="10" defaultColWidth="8.83203125" defaultRowHeight="16" x14ac:dyDescent="0.2"/>
  <cols>
    <col min="1" max="1" width="4.1640625" customWidth="1"/>
    <col min="2" max="2" width="70.6640625" customWidth="1"/>
    <col min="3" max="3" width="18.6640625" bestFit="1" customWidth="1"/>
    <col min="4" max="4" width="20.1640625" customWidth="1"/>
    <col min="5" max="5" width="19.6640625" bestFit="1" customWidth="1"/>
    <col min="6" max="6" width="15.1640625" customWidth="1"/>
    <col min="7" max="7" width="20.6640625" bestFit="1" customWidth="1"/>
    <col min="8" max="8" width="22.1640625" bestFit="1" customWidth="1"/>
    <col min="9" max="10" width="20.6640625" bestFit="1" customWidth="1"/>
    <col min="11" max="11" width="19.6640625" bestFit="1" customWidth="1"/>
    <col min="12" max="12" width="22.1640625" bestFit="1" customWidth="1"/>
    <col min="13" max="13" width="20.6640625" bestFit="1" customWidth="1"/>
    <col min="14" max="14" width="19.6640625" bestFit="1" customWidth="1"/>
    <col min="15" max="21" width="20.6640625" bestFit="1" customWidth="1"/>
    <col min="22" max="22" width="19.6640625" bestFit="1" customWidth="1"/>
    <col min="23" max="28" width="20.6640625" bestFit="1" customWidth="1"/>
    <col min="29" max="29" width="19.6640625" bestFit="1" customWidth="1"/>
    <col min="30" max="31" width="20.6640625" bestFit="1" customWidth="1"/>
    <col min="32" max="32" width="19.6640625" bestFit="1" customWidth="1"/>
    <col min="33" max="34" width="20.6640625" bestFit="1" customWidth="1"/>
    <col min="35" max="35" width="22.1640625" bestFit="1" customWidth="1"/>
    <col min="36" max="36" width="20.6640625" bestFit="1" customWidth="1"/>
    <col min="37" max="37" width="19.6640625" bestFit="1" customWidth="1"/>
    <col min="38" max="41" width="20.6640625" bestFit="1" customWidth="1"/>
    <col min="42" max="42" width="19.6640625" bestFit="1" customWidth="1"/>
    <col min="43" max="43" width="20.6640625" bestFit="1" customWidth="1"/>
    <col min="44" max="44" width="19.6640625" bestFit="1" customWidth="1"/>
    <col min="45" max="45" width="20.6640625" bestFit="1" customWidth="1"/>
    <col min="46" max="46" width="22.1640625" bestFit="1" customWidth="1"/>
    <col min="47" max="47" width="20.6640625" bestFit="1" customWidth="1"/>
    <col min="48" max="48" width="14.1640625" customWidth="1"/>
    <col min="49" max="52" width="20.6640625" bestFit="1" customWidth="1"/>
    <col min="53" max="53" width="19.6640625" bestFit="1" customWidth="1"/>
  </cols>
  <sheetData>
    <row r="1" spans="1:55" x14ac:dyDescent="0.2">
      <c r="B1">
        <v>2011</v>
      </c>
      <c r="D1">
        <v>1</v>
      </c>
      <c r="E1">
        <f>D1+1</f>
        <v>2</v>
      </c>
      <c r="F1">
        <f t="shared" ref="F1:K1" si="0">E1+1</f>
        <v>3</v>
      </c>
      <c r="G1">
        <f t="shared" si="0"/>
        <v>4</v>
      </c>
      <c r="H1">
        <f t="shared" si="0"/>
        <v>5</v>
      </c>
      <c r="I1">
        <f t="shared" si="0"/>
        <v>6</v>
      </c>
      <c r="J1">
        <f t="shared" si="0"/>
        <v>7</v>
      </c>
      <c r="K1">
        <f t="shared" si="0"/>
        <v>8</v>
      </c>
      <c r="L1">
        <f t="shared" ref="L1" si="1">K1+1</f>
        <v>9</v>
      </c>
      <c r="M1">
        <f t="shared" ref="M1" si="2">L1+1</f>
        <v>10</v>
      </c>
      <c r="N1">
        <f t="shared" ref="N1" si="3">M1+1</f>
        <v>11</v>
      </c>
      <c r="O1">
        <f t="shared" ref="O1" si="4">N1+1</f>
        <v>12</v>
      </c>
      <c r="P1">
        <f t="shared" ref="P1" si="5">O1+1</f>
        <v>13</v>
      </c>
      <c r="Q1">
        <f t="shared" ref="Q1" si="6">P1+1</f>
        <v>14</v>
      </c>
      <c r="R1">
        <f t="shared" ref="R1" si="7">Q1+1</f>
        <v>15</v>
      </c>
      <c r="S1">
        <f t="shared" ref="S1" si="8">R1+1</f>
        <v>16</v>
      </c>
      <c r="T1">
        <f t="shared" ref="T1" si="9">S1+1</f>
        <v>17</v>
      </c>
      <c r="U1">
        <f t="shared" ref="U1" si="10">T1+1</f>
        <v>18</v>
      </c>
      <c r="V1">
        <f t="shared" ref="V1" si="11">U1+1</f>
        <v>19</v>
      </c>
      <c r="W1">
        <f t="shared" ref="W1" si="12">V1+1</f>
        <v>20</v>
      </c>
      <c r="X1">
        <f t="shared" ref="X1" si="13">W1+1</f>
        <v>21</v>
      </c>
      <c r="Y1">
        <f t="shared" ref="Y1" si="14">X1+1</f>
        <v>22</v>
      </c>
      <c r="Z1">
        <f t="shared" ref="Z1" si="15">Y1+1</f>
        <v>23</v>
      </c>
      <c r="AA1">
        <f t="shared" ref="AA1" si="16">Z1+1</f>
        <v>24</v>
      </c>
      <c r="AB1">
        <f t="shared" ref="AB1" si="17">AA1+1</f>
        <v>25</v>
      </c>
      <c r="AC1">
        <f t="shared" ref="AC1" si="18">AB1+1</f>
        <v>26</v>
      </c>
      <c r="AD1">
        <f t="shared" ref="AD1" si="19">AC1+1</f>
        <v>27</v>
      </c>
      <c r="AE1">
        <f t="shared" ref="AE1" si="20">AD1+1</f>
        <v>28</v>
      </c>
      <c r="AF1">
        <f t="shared" ref="AF1" si="21">AE1+1</f>
        <v>29</v>
      </c>
      <c r="AG1">
        <f t="shared" ref="AG1" si="22">AF1+1</f>
        <v>30</v>
      </c>
      <c r="AH1">
        <f t="shared" ref="AH1" si="23">AG1+1</f>
        <v>31</v>
      </c>
      <c r="AI1">
        <f t="shared" ref="AI1" si="24">AH1+1</f>
        <v>32</v>
      </c>
      <c r="AJ1">
        <f t="shared" ref="AJ1" si="25">AI1+1</f>
        <v>33</v>
      </c>
      <c r="AK1">
        <f t="shared" ref="AK1" si="26">AJ1+1</f>
        <v>34</v>
      </c>
      <c r="AL1">
        <f t="shared" ref="AL1" si="27">AK1+1</f>
        <v>35</v>
      </c>
      <c r="AM1">
        <f t="shared" ref="AM1" si="28">AL1+1</f>
        <v>36</v>
      </c>
      <c r="AN1">
        <f t="shared" ref="AN1" si="29">AM1+1</f>
        <v>37</v>
      </c>
      <c r="AO1">
        <f t="shared" ref="AO1" si="30">AN1+1</f>
        <v>38</v>
      </c>
      <c r="AP1">
        <f t="shared" ref="AP1" si="31">AO1+1</f>
        <v>39</v>
      </c>
      <c r="AQ1">
        <f t="shared" ref="AQ1" si="32">AP1+1</f>
        <v>40</v>
      </c>
      <c r="AR1">
        <f t="shared" ref="AR1" si="33">AQ1+1</f>
        <v>41</v>
      </c>
      <c r="AS1">
        <f t="shared" ref="AS1" si="34">AR1+1</f>
        <v>42</v>
      </c>
      <c r="AT1">
        <f t="shared" ref="AT1" si="35">AS1+1</f>
        <v>43</v>
      </c>
      <c r="AU1">
        <f t="shared" ref="AU1" si="36">AT1+1</f>
        <v>44</v>
      </c>
      <c r="AV1">
        <f t="shared" ref="AV1" si="37">AU1+1</f>
        <v>45</v>
      </c>
      <c r="AW1">
        <f t="shared" ref="AW1" si="38">AV1+1</f>
        <v>46</v>
      </c>
      <c r="AX1">
        <f t="shared" ref="AX1" si="39">AW1+1</f>
        <v>47</v>
      </c>
      <c r="AY1">
        <f t="shared" ref="AY1" si="40">AX1+1</f>
        <v>48</v>
      </c>
      <c r="AZ1">
        <f t="shared" ref="AZ1" si="41">AY1+1</f>
        <v>49</v>
      </c>
      <c r="BA1">
        <f t="shared" ref="BA1" si="42">AZ1+1</f>
        <v>50</v>
      </c>
    </row>
    <row r="2" spans="1:55" x14ac:dyDescent="0.2">
      <c r="C2" s="6"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row>
    <row r="3" spans="1:55" x14ac:dyDescent="0.2">
      <c r="C3" s="6"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row>
    <row r="4" spans="1:55" x14ac:dyDescent="0.2">
      <c r="A4">
        <v>1</v>
      </c>
      <c r="B4" s="334" t="s">
        <v>560</v>
      </c>
      <c r="C4" s="335">
        <f>SUM(D4:BA4)</f>
        <v>74.267713836547372</v>
      </c>
      <c r="D4" s="335">
        <f>(SUM(D5:D7))/1000000000</f>
        <v>1.0219927353121305</v>
      </c>
      <c r="E4" s="335">
        <f t="shared" ref="E4:BA4" si="43">(SUM(E5:E7))/1000000000</f>
        <v>0.16440910049225224</v>
      </c>
      <c r="F4" s="335">
        <f t="shared" si="43"/>
        <v>1.7370319371678185</v>
      </c>
      <c r="G4" s="335">
        <f t="shared" si="43"/>
        <v>0.69055107980802721</v>
      </c>
      <c r="H4" s="335">
        <f t="shared" si="43"/>
        <v>8.5040733625108871</v>
      </c>
      <c r="I4" s="335">
        <f t="shared" si="43"/>
        <v>1.3426051936941592</v>
      </c>
      <c r="J4" s="335">
        <f t="shared" si="43"/>
        <v>0.76629532070626905</v>
      </c>
      <c r="K4" s="335">
        <f t="shared" si="43"/>
        <v>0.24134216792679883</v>
      </c>
      <c r="L4" s="335">
        <f t="shared" si="43"/>
        <v>4.9366965419305897</v>
      </c>
      <c r="M4" s="335">
        <f t="shared" si="43"/>
        <v>2.0181351896810598</v>
      </c>
      <c r="N4" s="335">
        <f t="shared" si="43"/>
        <v>0.344038806625519</v>
      </c>
      <c r="O4" s="335">
        <f t="shared" si="43"/>
        <v>0.39218357562296713</v>
      </c>
      <c r="P4" s="335">
        <f t="shared" si="43"/>
        <v>3.2125163975239737</v>
      </c>
      <c r="Q4" s="335">
        <f t="shared" si="43"/>
        <v>1.51605026376055</v>
      </c>
      <c r="R4" s="335">
        <f t="shared" si="43"/>
        <v>0.76955480959913669</v>
      </c>
      <c r="S4" s="335">
        <f t="shared" si="43"/>
        <v>0.70863164979586724</v>
      </c>
      <c r="T4" s="335">
        <f t="shared" si="43"/>
        <v>0.91873891789322348</v>
      </c>
      <c r="U4" s="335">
        <f t="shared" si="43"/>
        <v>1.0704451467910698</v>
      </c>
      <c r="V4" s="335">
        <f t="shared" si="43"/>
        <v>0.30264302327153336</v>
      </c>
      <c r="W4" s="335">
        <f t="shared" si="43"/>
        <v>1.2857672819644597</v>
      </c>
      <c r="X4" s="335">
        <f t="shared" si="43"/>
        <v>1.5808804314793892</v>
      </c>
      <c r="Y4" s="335">
        <f t="shared" si="43"/>
        <v>2.3248738008778012</v>
      </c>
      <c r="Z4" s="335">
        <f t="shared" si="43"/>
        <v>1.2736684458789878</v>
      </c>
      <c r="AA4" s="335">
        <f t="shared" si="43"/>
        <v>0.60823364013685188</v>
      </c>
      <c r="AB4" s="335">
        <f t="shared" si="43"/>
        <v>1.4489636725706498</v>
      </c>
      <c r="AC4" s="335">
        <f t="shared" si="43"/>
        <v>0.28431442084724357</v>
      </c>
      <c r="AD4" s="335">
        <f t="shared" si="43"/>
        <v>0.47562495655499532</v>
      </c>
      <c r="AE4" s="335">
        <f t="shared" si="43"/>
        <v>0.82176999511234861</v>
      </c>
      <c r="AF4" s="335">
        <f t="shared" si="43"/>
        <v>0.28004346217729842</v>
      </c>
      <c r="AG4" s="335">
        <f t="shared" si="43"/>
        <v>2.3786206119954612</v>
      </c>
      <c r="AH4" s="335">
        <f t="shared" si="43"/>
        <v>0.41401728502141627</v>
      </c>
      <c r="AI4" s="335">
        <f t="shared" si="43"/>
        <v>4.914968517929597</v>
      </c>
      <c r="AJ4" s="335">
        <f t="shared" si="43"/>
        <v>1.9929248210559238</v>
      </c>
      <c r="AK4" s="335">
        <f t="shared" si="43"/>
        <v>0.18101410845683294</v>
      </c>
      <c r="AL4" s="335">
        <f t="shared" si="43"/>
        <v>2.8968758056763058</v>
      </c>
      <c r="AM4" s="335">
        <f t="shared" si="43"/>
        <v>0.9187971819417885</v>
      </c>
      <c r="AN4" s="335">
        <f t="shared" si="43"/>
        <v>0.90426573184947889</v>
      </c>
      <c r="AO4" s="335">
        <f t="shared" si="43"/>
        <v>3.0542742280065012</v>
      </c>
      <c r="AP4" s="335">
        <f t="shared" si="43"/>
        <v>0.2640720147158479</v>
      </c>
      <c r="AQ4" s="335">
        <f t="shared" si="43"/>
        <v>1.0545177663958247</v>
      </c>
      <c r="AR4" s="335">
        <f t="shared" si="43"/>
        <v>0.20923184143308826</v>
      </c>
      <c r="AS4" s="335">
        <f t="shared" si="43"/>
        <v>1.40834858268081</v>
      </c>
      <c r="AT4" s="335">
        <f t="shared" si="43"/>
        <v>6.3787275392541396</v>
      </c>
      <c r="AU4" s="335">
        <f t="shared" si="43"/>
        <v>0.52574686091875322</v>
      </c>
      <c r="AV4" s="335">
        <f t="shared" si="43"/>
        <v>0.13329722268581198</v>
      </c>
      <c r="AW4" s="335">
        <f t="shared" si="43"/>
        <v>1.9306913260836214</v>
      </c>
      <c r="AX4" s="335">
        <f t="shared" si="43"/>
        <v>1.7034185122992898</v>
      </c>
      <c r="AY4" s="335">
        <f t="shared" si="43"/>
        <v>0.390588864173887</v>
      </c>
      <c r="AZ4" s="335">
        <f t="shared" si="43"/>
        <v>1.4035022167864204</v>
      </c>
      <c r="BA4" s="335">
        <f t="shared" si="43"/>
        <v>0.16773746947270668</v>
      </c>
    </row>
    <row r="5" spans="1:55" x14ac:dyDescent="0.2">
      <c r="A5">
        <v>2</v>
      </c>
      <c r="B5" s="91" t="s">
        <v>892</v>
      </c>
      <c r="C5" s="60"/>
      <c r="D5" s="60">
        <f t="shared" ref="D5:BA5" si="44">D10*$C11</f>
        <v>71883447.700072989</v>
      </c>
      <c r="E5" s="60">
        <f t="shared" si="44"/>
        <v>14723207.368476</v>
      </c>
      <c r="F5" s="60">
        <f t="shared" si="44"/>
        <v>161613176.75083199</v>
      </c>
      <c r="G5" s="60">
        <f t="shared" si="44"/>
        <v>78305021.461764976</v>
      </c>
      <c r="H5" s="60">
        <f t="shared" si="44"/>
        <v>80197534.101500958</v>
      </c>
      <c r="I5" s="60">
        <f t="shared" si="44"/>
        <v>64392953.336534992</v>
      </c>
      <c r="J5" s="60">
        <f t="shared" si="44"/>
        <v>-4537056.1112560015</v>
      </c>
      <c r="K5" s="60">
        <f t="shared" si="44"/>
        <v>28440082.315700997</v>
      </c>
      <c r="L5" s="60">
        <f t="shared" si="44"/>
        <v>343784437.67015094</v>
      </c>
      <c r="M5" s="60">
        <f t="shared" si="44"/>
        <v>57372524.41849599</v>
      </c>
      <c r="N5" s="60">
        <f t="shared" si="44"/>
        <v>46486979.845208995</v>
      </c>
      <c r="O5" s="60">
        <f t="shared" si="44"/>
        <v>59774681.187323995</v>
      </c>
      <c r="P5" s="60">
        <f t="shared" si="44"/>
        <v>156412959.37913099</v>
      </c>
      <c r="Q5" s="60">
        <f t="shared" si="44"/>
        <v>129773693.90806998</v>
      </c>
      <c r="R5" s="60">
        <f t="shared" si="44"/>
        <v>62862082.933238991</v>
      </c>
      <c r="S5" s="60">
        <f t="shared" si="44"/>
        <v>26173544.914614998</v>
      </c>
      <c r="T5" s="60">
        <f t="shared" si="44"/>
        <v>63332415.709863991</v>
      </c>
      <c r="U5" s="60">
        <f t="shared" si="44"/>
        <v>43674635.848839</v>
      </c>
      <c r="V5" s="60">
        <f t="shared" si="44"/>
        <v>29617197.827921998</v>
      </c>
      <c r="W5" s="60">
        <f t="shared" si="44"/>
        <v>-54969718.370364994</v>
      </c>
      <c r="X5" s="60">
        <f t="shared" si="44"/>
        <v>113751414.020614</v>
      </c>
      <c r="Y5" s="60">
        <f t="shared" si="44"/>
        <v>90482969.746514991</v>
      </c>
      <c r="Z5" s="60">
        <f t="shared" si="44"/>
        <v>60158547.694046997</v>
      </c>
      <c r="AA5" s="60">
        <f t="shared" si="44"/>
        <v>22454044.631413996</v>
      </c>
      <c r="AB5" s="60">
        <f t="shared" si="44"/>
        <v>52724852.209101997</v>
      </c>
      <c r="AC5" s="60">
        <f t="shared" si="44"/>
        <v>56025562.763988994</v>
      </c>
      <c r="AD5" s="60">
        <f t="shared" si="44"/>
        <v>35078727.959594995</v>
      </c>
      <c r="AE5" s="60">
        <f t="shared" si="44"/>
        <v>134695810.17610899</v>
      </c>
      <c r="AF5" s="60">
        <f t="shared" si="44"/>
        <v>24603220.904450998</v>
      </c>
      <c r="AG5" s="60">
        <f t="shared" si="44"/>
        <v>279871500.96839398</v>
      </c>
      <c r="AH5" s="60">
        <f t="shared" si="44"/>
        <v>42578071.504969999</v>
      </c>
      <c r="AI5" s="60">
        <f t="shared" si="44"/>
        <v>135619898.30825499</v>
      </c>
      <c r="AJ5" s="60">
        <f t="shared" si="44"/>
        <v>137263983.95363998</v>
      </c>
      <c r="AK5" s="60">
        <f t="shared" si="44"/>
        <v>15491892.722483998</v>
      </c>
      <c r="AL5" s="60">
        <f t="shared" si="44"/>
        <v>176897203.36563095</v>
      </c>
      <c r="AM5" s="60">
        <f t="shared" si="44"/>
        <v>52364651.905335993</v>
      </c>
      <c r="AN5" s="60">
        <f t="shared" si="44"/>
        <v>49178820.120066993</v>
      </c>
      <c r="AO5" s="60">
        <f t="shared" si="44"/>
        <v>154759889.48321897</v>
      </c>
      <c r="AP5" s="60">
        <f t="shared" si="44"/>
        <v>29055858.163211998</v>
      </c>
      <c r="AQ5" s="60">
        <f t="shared" si="44"/>
        <v>64176534.886324994</v>
      </c>
      <c r="AR5" s="60">
        <f t="shared" si="44"/>
        <v>21488936.818418998</v>
      </c>
      <c r="AS5" s="60">
        <f t="shared" si="44"/>
        <v>88646423.109026998</v>
      </c>
      <c r="AT5" s="60">
        <f t="shared" si="44"/>
        <v>576243488.49605691</v>
      </c>
      <c r="AU5" s="60">
        <f t="shared" si="44"/>
        <v>-90826584.508047983</v>
      </c>
      <c r="AV5" s="60">
        <f t="shared" si="44"/>
        <v>12199512.334174</v>
      </c>
      <c r="AW5" s="60">
        <f t="shared" si="44"/>
        <v>188878286.653642</v>
      </c>
      <c r="AX5" s="60">
        <f t="shared" si="44"/>
        <v>230710177.21840498</v>
      </c>
      <c r="AY5" s="60">
        <f t="shared" si="44"/>
        <v>20369362.198032998</v>
      </c>
      <c r="AZ5" s="60">
        <f t="shared" si="44"/>
        <v>96746568.316395998</v>
      </c>
      <c r="BA5" s="60">
        <f t="shared" si="44"/>
        <v>29124613.497988995</v>
      </c>
    </row>
    <row r="6" spans="1:55" x14ac:dyDescent="0.2">
      <c r="A6">
        <v>3</v>
      </c>
      <c r="B6" s="91" t="s">
        <v>908</v>
      </c>
      <c r="C6" s="60"/>
      <c r="D6" s="60">
        <f t="shared" ref="D6:BA6" si="45">SUM(D24:D26)</f>
        <v>632903623.19175982</v>
      </c>
      <c r="E6" s="60">
        <f t="shared" si="45"/>
        <v>101886692.91592002</v>
      </c>
      <c r="F6" s="60">
        <f t="shared" si="45"/>
        <v>1148357609.7907996</v>
      </c>
      <c r="G6" s="60">
        <f t="shared" si="45"/>
        <v>418200428.88033998</v>
      </c>
      <c r="H6" s="60">
        <f t="shared" si="45"/>
        <v>5935463900.5691414</v>
      </c>
      <c r="I6" s="60">
        <f t="shared" si="45"/>
        <v>940363562.95887983</v>
      </c>
      <c r="J6" s="60">
        <f t="shared" si="45"/>
        <v>533987953.9016</v>
      </c>
      <c r="K6" s="60">
        <f t="shared" si="45"/>
        <v>152934381.52583003</v>
      </c>
      <c r="L6" s="60">
        <f t="shared" si="45"/>
        <v>3332838524.0698404</v>
      </c>
      <c r="M6" s="60">
        <f t="shared" si="45"/>
        <v>1312809000.0903196</v>
      </c>
      <c r="N6" s="60">
        <f t="shared" si="45"/>
        <v>206548782.01577997</v>
      </c>
      <c r="O6" s="60">
        <f t="shared" si="45"/>
        <v>227828317.34340012</v>
      </c>
      <c r="P6" s="60">
        <f t="shared" si="45"/>
        <v>2206925613.0524497</v>
      </c>
      <c r="Q6" s="60">
        <f t="shared" si="45"/>
        <v>955977255.52089036</v>
      </c>
      <c r="R6" s="60">
        <f t="shared" si="45"/>
        <v>504358869.34639996</v>
      </c>
      <c r="S6" s="60">
        <f t="shared" si="45"/>
        <v>492915713.96612</v>
      </c>
      <c r="T6" s="60">
        <f t="shared" si="45"/>
        <v>567049338.28914046</v>
      </c>
      <c r="U6" s="60">
        <f t="shared" si="45"/>
        <v>724681493.81448019</v>
      </c>
      <c r="V6" s="60">
        <f t="shared" si="45"/>
        <v>185297064.8532401</v>
      </c>
      <c r="W6" s="60">
        <f t="shared" si="45"/>
        <v>955128082.64881992</v>
      </c>
      <c r="X6" s="60">
        <f t="shared" si="45"/>
        <v>1030843742.4457799</v>
      </c>
      <c r="Y6" s="60">
        <f t="shared" si="45"/>
        <v>1582188487.5674</v>
      </c>
      <c r="Z6" s="60">
        <f t="shared" si="45"/>
        <v>860407619.46768975</v>
      </c>
      <c r="AA6" s="60">
        <f t="shared" si="45"/>
        <v>389166903.47482014</v>
      </c>
      <c r="AB6" s="60">
        <f t="shared" si="45"/>
        <v>999442990.69586003</v>
      </c>
      <c r="AC6" s="60">
        <f t="shared" si="45"/>
        <v>162409151.13195002</v>
      </c>
      <c r="AD6" s="60">
        <f t="shared" si="45"/>
        <v>318896583.9186399</v>
      </c>
      <c r="AE6" s="60">
        <f t="shared" si="45"/>
        <v>507460498.66683006</v>
      </c>
      <c r="AF6" s="60">
        <f t="shared" si="45"/>
        <v>168420485.20356002</v>
      </c>
      <c r="AG6" s="60">
        <f t="shared" si="45"/>
        <v>1515355798.2069602</v>
      </c>
      <c r="AH6" s="60">
        <f t="shared" si="45"/>
        <v>234176545.74524003</v>
      </c>
      <c r="AI6" s="60">
        <f t="shared" si="45"/>
        <v>3491583516.4788389</v>
      </c>
      <c r="AJ6" s="60">
        <f t="shared" si="45"/>
        <v>1218362181.9429412</v>
      </c>
      <c r="AK6" s="60">
        <f t="shared" si="45"/>
        <v>120306256.36330003</v>
      </c>
      <c r="AL6" s="60">
        <f t="shared" si="45"/>
        <v>1957882472.9579406</v>
      </c>
      <c r="AM6" s="60">
        <f t="shared" si="45"/>
        <v>616550004.6086601</v>
      </c>
      <c r="AN6" s="60">
        <f t="shared" si="45"/>
        <v>599653191.92056</v>
      </c>
      <c r="AO6" s="60">
        <f t="shared" si="45"/>
        <v>2057983487.4049599</v>
      </c>
      <c r="AP6" s="60">
        <f t="shared" si="45"/>
        <v>165638046.8330999</v>
      </c>
      <c r="AQ6" s="60">
        <f t="shared" si="45"/>
        <v>681742473.88650012</v>
      </c>
      <c r="AR6" s="60">
        <f t="shared" si="45"/>
        <v>133357959.04952003</v>
      </c>
      <c r="AS6" s="60">
        <f t="shared" si="45"/>
        <v>897100136.94221997</v>
      </c>
      <c r="AT6" s="60">
        <f t="shared" si="45"/>
        <v>4109921278.5295801</v>
      </c>
      <c r="AU6" s="60">
        <f t="shared" si="45"/>
        <v>430731520.59688997</v>
      </c>
      <c r="AV6" s="60">
        <f t="shared" si="45"/>
        <v>79721482.273499876</v>
      </c>
      <c r="AW6" s="60">
        <f t="shared" si="45"/>
        <v>1206650061.26107</v>
      </c>
      <c r="AX6" s="60">
        <f t="shared" si="45"/>
        <v>1022142334.1903002</v>
      </c>
      <c r="AY6" s="60">
        <f t="shared" si="45"/>
        <v>247732945.37768012</v>
      </c>
      <c r="AZ6" s="60">
        <f t="shared" si="45"/>
        <v>929713224.91791975</v>
      </c>
      <c r="BA6" s="60">
        <f t="shared" si="45"/>
        <v>101148203.92441998</v>
      </c>
    </row>
    <row r="7" spans="1:55" x14ac:dyDescent="0.2">
      <c r="A7">
        <v>4</v>
      </c>
      <c r="B7" s="91" t="s">
        <v>915</v>
      </c>
      <c r="C7" s="60"/>
      <c r="D7" s="60">
        <f t="shared" ref="D7:BA7" si="46">D30*$C31</f>
        <v>317205664.42029768</v>
      </c>
      <c r="E7" s="60">
        <f t="shared" si="46"/>
        <v>47799200.207856223</v>
      </c>
      <c r="F7" s="60">
        <f t="shared" si="46"/>
        <v>427061150.62618691</v>
      </c>
      <c r="G7" s="60">
        <f t="shared" si="46"/>
        <v>194045629.46592236</v>
      </c>
      <c r="H7" s="60">
        <f t="shared" si="46"/>
        <v>2488411927.8402452</v>
      </c>
      <c r="I7" s="60">
        <f t="shared" si="46"/>
        <v>337848677.39874452</v>
      </c>
      <c r="J7" s="60">
        <f t="shared" si="46"/>
        <v>236844422.91592497</v>
      </c>
      <c r="K7" s="60">
        <f t="shared" si="46"/>
        <v>59967704.085267767</v>
      </c>
      <c r="L7" s="60">
        <f t="shared" si="46"/>
        <v>1260073580.1905987</v>
      </c>
      <c r="M7" s="60">
        <f t="shared" si="46"/>
        <v>647953665.17224443</v>
      </c>
      <c r="N7" s="60">
        <f t="shared" si="46"/>
        <v>91003044.764530003</v>
      </c>
      <c r="O7" s="60">
        <f t="shared" si="46"/>
        <v>104580577.09224303</v>
      </c>
      <c r="P7" s="60">
        <f t="shared" si="46"/>
        <v>849177825.0923928</v>
      </c>
      <c r="Q7" s="60">
        <f t="shared" si="46"/>
        <v>430299314.3315897</v>
      </c>
      <c r="R7" s="60">
        <f t="shared" si="46"/>
        <v>202333857.3194977</v>
      </c>
      <c r="S7" s="60">
        <f t="shared" si="46"/>
        <v>189542390.91513219</v>
      </c>
      <c r="T7" s="60">
        <f t="shared" si="46"/>
        <v>288357163.8942191</v>
      </c>
      <c r="U7" s="60">
        <f t="shared" si="46"/>
        <v>302089017.12775064</v>
      </c>
      <c r="V7" s="60">
        <f t="shared" si="46"/>
        <v>87728760.590371266</v>
      </c>
      <c r="W7" s="60">
        <f t="shared" si="46"/>
        <v>385608917.68600476</v>
      </c>
      <c r="X7" s="60">
        <f t="shared" si="46"/>
        <v>436285275.01299512</v>
      </c>
      <c r="Y7" s="60">
        <f t="shared" si="46"/>
        <v>652202343.56388593</v>
      </c>
      <c r="Z7" s="60">
        <f t="shared" si="46"/>
        <v>353102278.71725112</v>
      </c>
      <c r="AA7" s="60">
        <f t="shared" si="46"/>
        <v>196612692.03061774</v>
      </c>
      <c r="AB7" s="60">
        <f t="shared" si="46"/>
        <v>396795829.66568774</v>
      </c>
      <c r="AC7" s="60">
        <f t="shared" si="46"/>
        <v>65879706.951304525</v>
      </c>
      <c r="AD7" s="60">
        <f t="shared" si="46"/>
        <v>121649644.67676044</v>
      </c>
      <c r="AE7" s="60">
        <f t="shared" si="46"/>
        <v>179613686.26940948</v>
      </c>
      <c r="AF7" s="60">
        <f t="shared" si="46"/>
        <v>87019756.069287419</v>
      </c>
      <c r="AG7" s="60">
        <f t="shared" si="46"/>
        <v>583393312.82010674</v>
      </c>
      <c r="AH7" s="60">
        <f t="shared" si="46"/>
        <v>137262667.7712062</v>
      </c>
      <c r="AI7" s="60">
        <f t="shared" si="46"/>
        <v>1287765103.142503</v>
      </c>
      <c r="AJ7" s="60">
        <f t="shared" si="46"/>
        <v>637298655.15934265</v>
      </c>
      <c r="AK7" s="60">
        <f t="shared" si="46"/>
        <v>45215959.37104892</v>
      </c>
      <c r="AL7" s="60">
        <f t="shared" si="46"/>
        <v>762096129.35273409</v>
      </c>
      <c r="AM7" s="60">
        <f t="shared" si="46"/>
        <v>249882525.42779243</v>
      </c>
      <c r="AN7" s="60">
        <f t="shared" si="46"/>
        <v>255433719.80885181</v>
      </c>
      <c r="AO7" s="60">
        <f t="shared" si="46"/>
        <v>841530851.11832237</v>
      </c>
      <c r="AP7" s="60">
        <f t="shared" si="46"/>
        <v>69378109.719535977</v>
      </c>
      <c r="AQ7" s="60">
        <f t="shared" si="46"/>
        <v>308598757.62299955</v>
      </c>
      <c r="AR7" s="60">
        <f t="shared" si="46"/>
        <v>54384945.56514924</v>
      </c>
      <c r="AS7" s="60">
        <f t="shared" si="46"/>
        <v>422602022.62956309</v>
      </c>
      <c r="AT7" s="60">
        <f t="shared" si="46"/>
        <v>1692562772.2285035</v>
      </c>
      <c r="AU7" s="60">
        <f t="shared" si="46"/>
        <v>185841924.82991123</v>
      </c>
      <c r="AV7" s="60">
        <f t="shared" si="46"/>
        <v>41376228.078138106</v>
      </c>
      <c r="AW7" s="60">
        <f t="shared" si="46"/>
        <v>535162978.16890925</v>
      </c>
      <c r="AX7" s="60">
        <f t="shared" si="46"/>
        <v>450566000.89058453</v>
      </c>
      <c r="AY7" s="60">
        <f t="shared" si="46"/>
        <v>122486556.59817392</v>
      </c>
      <c r="AZ7" s="60">
        <f t="shared" si="46"/>
        <v>377042423.55210453</v>
      </c>
      <c r="BA7" s="60">
        <f t="shared" si="46"/>
        <v>37464652.050297678</v>
      </c>
      <c r="BB7" s="51"/>
      <c r="BC7" s="51"/>
    </row>
    <row r="8" spans="1:55" x14ac:dyDescent="0.2">
      <c r="A8">
        <v>5</v>
      </c>
      <c r="B8" s="209" t="s">
        <v>889</v>
      </c>
      <c r="C8" s="242"/>
      <c r="D8" s="336">
        <v>4744029</v>
      </c>
      <c r="E8" s="337">
        <v>743148</v>
      </c>
      <c r="F8" s="337">
        <v>5031536</v>
      </c>
      <c r="G8" s="337">
        <v>2412345</v>
      </c>
      <c r="H8" s="337">
        <v>28811473</v>
      </c>
      <c r="I8" s="337">
        <v>4263555</v>
      </c>
      <c r="J8" s="337">
        <v>2791912</v>
      </c>
      <c r="K8" s="337">
        <v>918073</v>
      </c>
      <c r="L8" s="337">
        <v>15277923</v>
      </c>
      <c r="M8" s="337">
        <v>7402608</v>
      </c>
      <c r="N8" s="337">
        <v>1127357</v>
      </c>
      <c r="O8" s="337">
        <v>1600252</v>
      </c>
      <c r="P8" s="337">
        <v>10305463</v>
      </c>
      <c r="Q8" s="337">
        <v>6052110</v>
      </c>
      <c r="R8" s="337">
        <v>3450547</v>
      </c>
      <c r="S8" s="337">
        <v>2405395</v>
      </c>
      <c r="T8" s="337">
        <v>3701672</v>
      </c>
      <c r="U8" s="337">
        <v>3989347</v>
      </c>
      <c r="V8" s="337">
        <v>1150106</v>
      </c>
      <c r="W8" s="337">
        <v>3829855</v>
      </c>
      <c r="X8" s="337">
        <v>5631422</v>
      </c>
      <c r="Y8" s="337">
        <v>9074095</v>
      </c>
      <c r="Z8" s="337">
        <v>4844731</v>
      </c>
      <c r="AA8" s="337">
        <v>1989822</v>
      </c>
      <c r="AB8" s="337">
        <v>5098246</v>
      </c>
      <c r="AC8" s="337">
        <v>1200297</v>
      </c>
      <c r="AD8" s="337">
        <v>1860935</v>
      </c>
      <c r="AE8" s="337">
        <v>2123057</v>
      </c>
      <c r="AF8" s="337">
        <v>1261823</v>
      </c>
      <c r="AG8" s="337">
        <v>7841362</v>
      </c>
      <c r="AH8" s="337">
        <v>1735810</v>
      </c>
      <c r="AI8" s="337">
        <v>10207115</v>
      </c>
      <c r="AJ8" s="337">
        <v>6131720</v>
      </c>
      <c r="AK8" s="337">
        <v>770932</v>
      </c>
      <c r="AL8" s="337">
        <v>10079963</v>
      </c>
      <c r="AM8" s="337">
        <v>3377928</v>
      </c>
      <c r="AN8" s="337">
        <v>3082191</v>
      </c>
      <c r="AO8" s="337">
        <v>10181087</v>
      </c>
      <c r="AP8" s="337">
        <v>907276</v>
      </c>
      <c r="AQ8" s="337">
        <v>3769225</v>
      </c>
      <c r="AR8" s="337">
        <v>980687</v>
      </c>
      <c r="AS8" s="337">
        <v>5230271</v>
      </c>
      <c r="AT8" s="337">
        <v>19300461</v>
      </c>
      <c r="AU8" s="337">
        <v>1841296</v>
      </c>
      <c r="AV8" s="337">
        <v>595302</v>
      </c>
      <c r="AW8" s="337">
        <v>6875666</v>
      </c>
      <c r="AX8" s="337">
        <v>5793065</v>
      </c>
      <c r="AY8" s="337">
        <v>1429109</v>
      </c>
      <c r="AZ8" s="337">
        <v>5179308</v>
      </c>
      <c r="BA8" s="337">
        <v>782297</v>
      </c>
    </row>
    <row r="9" spans="1:55" x14ac:dyDescent="0.2">
      <c r="A9">
        <v>6</v>
      </c>
      <c r="B9" s="209" t="s">
        <v>890</v>
      </c>
      <c r="C9" s="242"/>
      <c r="D9" s="242">
        <v>4601659</v>
      </c>
      <c r="E9" s="242">
        <v>696414</v>
      </c>
      <c r="F9" s="242">
        <v>4278172</v>
      </c>
      <c r="G9" s="242">
        <v>2045360</v>
      </c>
      <c r="H9" s="242">
        <v>30461228</v>
      </c>
      <c r="I9" s="242">
        <v>4137087</v>
      </c>
      <c r="J9" s="242">
        <v>3038622</v>
      </c>
      <c r="K9" s="242">
        <v>788009</v>
      </c>
      <c r="L9" s="242">
        <v>14027166</v>
      </c>
      <c r="M9" s="242">
        <v>7567067</v>
      </c>
      <c r="N9" s="242">
        <v>886054</v>
      </c>
      <c r="O9" s="242">
        <v>1301561</v>
      </c>
      <c r="P9" s="242">
        <v>9994355</v>
      </c>
      <c r="Q9" s="242">
        <v>5601877</v>
      </c>
      <c r="R9" s="242">
        <v>3272360</v>
      </c>
      <c r="S9" s="242">
        <v>2405698</v>
      </c>
      <c r="T9" s="242">
        <v>3539478</v>
      </c>
      <c r="U9" s="242">
        <v>3987974</v>
      </c>
      <c r="V9" s="242">
        <v>1029580</v>
      </c>
      <c r="W9" s="242">
        <v>4512219</v>
      </c>
      <c r="X9" s="242">
        <v>5261886</v>
      </c>
      <c r="Y9" s="242">
        <v>9133475</v>
      </c>
      <c r="Z9" s="242">
        <v>4792832</v>
      </c>
      <c r="AA9" s="242">
        <v>1984411</v>
      </c>
      <c r="AB9" s="242">
        <v>5118292</v>
      </c>
      <c r="AC9" s="242">
        <v>897302</v>
      </c>
      <c r="AD9" s="242">
        <v>1756537</v>
      </c>
      <c r="AE9" s="242">
        <v>1335951</v>
      </c>
      <c r="AF9" s="242">
        <v>1185265</v>
      </c>
      <c r="AG9" s="242">
        <v>6469682</v>
      </c>
      <c r="AH9" s="242">
        <v>1568877</v>
      </c>
      <c r="AI9" s="242">
        <v>10035153</v>
      </c>
      <c r="AJ9" s="242">
        <v>5634760</v>
      </c>
      <c r="AK9" s="242">
        <v>720911</v>
      </c>
      <c r="AL9" s="242">
        <v>9606984</v>
      </c>
      <c r="AM9" s="242">
        <v>3268223</v>
      </c>
      <c r="AN9" s="242">
        <v>2972222</v>
      </c>
      <c r="AO9" s="242">
        <v>9872078</v>
      </c>
      <c r="AP9" s="242">
        <v>772037</v>
      </c>
      <c r="AQ9" s="242">
        <v>3606270</v>
      </c>
      <c r="AR9" s="242">
        <v>904483</v>
      </c>
      <c r="AS9" s="242">
        <v>5007019</v>
      </c>
      <c r="AT9" s="242">
        <v>16718883</v>
      </c>
      <c r="AU9" s="242">
        <v>2623734</v>
      </c>
      <c r="AV9" s="242">
        <v>555005</v>
      </c>
      <c r="AW9" s="242">
        <v>6071742</v>
      </c>
      <c r="AX9" s="242">
        <v>4610737</v>
      </c>
      <c r="AY9" s="242">
        <v>1395288</v>
      </c>
      <c r="AZ9" s="242">
        <v>4894985</v>
      </c>
      <c r="BA9" s="242">
        <v>636962</v>
      </c>
    </row>
    <row r="10" spans="1:55" x14ac:dyDescent="0.2">
      <c r="A10">
        <v>7</v>
      </c>
      <c r="B10" s="92" t="s">
        <v>891</v>
      </c>
      <c r="C10" s="60"/>
      <c r="D10" s="60">
        <f t="shared" ref="D10:BA10" si="47">D8*0.0769+(D8-D9)</f>
        <v>507185.83009999996</v>
      </c>
      <c r="E10" s="60">
        <f t="shared" si="47"/>
        <v>103882.0812</v>
      </c>
      <c r="F10" s="60">
        <f t="shared" si="47"/>
        <v>1140289.1184</v>
      </c>
      <c r="G10" s="60">
        <f t="shared" si="47"/>
        <v>552494.33049999992</v>
      </c>
      <c r="H10" s="60">
        <f t="shared" si="47"/>
        <v>565847.27369999979</v>
      </c>
      <c r="I10" s="60">
        <f t="shared" si="47"/>
        <v>454335.37949999998</v>
      </c>
      <c r="J10" s="60">
        <f t="shared" si="47"/>
        <v>-32011.967200000014</v>
      </c>
      <c r="K10" s="60">
        <f t="shared" si="47"/>
        <v>200663.8137</v>
      </c>
      <c r="L10" s="60">
        <f t="shared" si="47"/>
        <v>2425629.2786999997</v>
      </c>
      <c r="M10" s="60">
        <f t="shared" si="47"/>
        <v>404801.55519999994</v>
      </c>
      <c r="N10" s="60">
        <f t="shared" si="47"/>
        <v>327996.75329999998</v>
      </c>
      <c r="O10" s="60">
        <f t="shared" si="47"/>
        <v>421750.37880000001</v>
      </c>
      <c r="P10" s="60">
        <f t="shared" si="47"/>
        <v>1103598.1047</v>
      </c>
      <c r="Q10" s="60">
        <f t="shared" si="47"/>
        <v>915640.25899999996</v>
      </c>
      <c r="R10" s="60">
        <f t="shared" si="47"/>
        <v>443534.06429999997</v>
      </c>
      <c r="S10" s="60">
        <f t="shared" si="47"/>
        <v>184671.87549999999</v>
      </c>
      <c r="T10" s="60">
        <f t="shared" si="47"/>
        <v>446852.57679999998</v>
      </c>
      <c r="U10" s="60">
        <f t="shared" si="47"/>
        <v>308153.7843</v>
      </c>
      <c r="V10" s="60">
        <f t="shared" si="47"/>
        <v>208969.1514</v>
      </c>
      <c r="W10" s="60">
        <f t="shared" si="47"/>
        <v>-387848.15049999999</v>
      </c>
      <c r="X10" s="60">
        <f t="shared" si="47"/>
        <v>802592.35180000006</v>
      </c>
      <c r="Y10" s="60">
        <f t="shared" si="47"/>
        <v>638417.90549999999</v>
      </c>
      <c r="Z10" s="60">
        <f t="shared" si="47"/>
        <v>424458.81390000001</v>
      </c>
      <c r="AA10" s="60">
        <f t="shared" si="47"/>
        <v>158428.3118</v>
      </c>
      <c r="AB10" s="60">
        <f t="shared" si="47"/>
        <v>372009.11739999999</v>
      </c>
      <c r="AC10" s="60">
        <f t="shared" si="47"/>
        <v>395297.83929999999</v>
      </c>
      <c r="AD10" s="60">
        <f t="shared" si="47"/>
        <v>247503.90150000001</v>
      </c>
      <c r="AE10" s="60">
        <f t="shared" si="47"/>
        <v>950369.08330000006</v>
      </c>
      <c r="AF10" s="60">
        <f t="shared" si="47"/>
        <v>173592.1887</v>
      </c>
      <c r="AG10" s="60">
        <f t="shared" si="47"/>
        <v>1974680.7378</v>
      </c>
      <c r="AH10" s="60">
        <f t="shared" si="47"/>
        <v>300416.78899999999</v>
      </c>
      <c r="AI10" s="60">
        <f t="shared" si="47"/>
        <v>956889.14350000001</v>
      </c>
      <c r="AJ10" s="60">
        <f t="shared" si="47"/>
        <v>968489.26799999992</v>
      </c>
      <c r="AK10" s="60">
        <f t="shared" si="47"/>
        <v>109305.67079999999</v>
      </c>
      <c r="AL10" s="60">
        <f t="shared" si="47"/>
        <v>1248128.1546999998</v>
      </c>
      <c r="AM10" s="60">
        <f t="shared" si="47"/>
        <v>369467.66319999995</v>
      </c>
      <c r="AN10" s="60">
        <f t="shared" si="47"/>
        <v>346989.48789999995</v>
      </c>
      <c r="AO10" s="60">
        <f t="shared" si="47"/>
        <v>1091934.5902999998</v>
      </c>
      <c r="AP10" s="60">
        <f t="shared" si="47"/>
        <v>205008.52439999999</v>
      </c>
      <c r="AQ10" s="60">
        <f t="shared" si="47"/>
        <v>452808.40249999997</v>
      </c>
      <c r="AR10" s="60">
        <f t="shared" si="47"/>
        <v>151618.8303</v>
      </c>
      <c r="AS10" s="60">
        <f t="shared" si="47"/>
        <v>625459.83990000002</v>
      </c>
      <c r="AT10" s="60">
        <f t="shared" si="47"/>
        <v>4065783.4508999996</v>
      </c>
      <c r="AU10" s="60">
        <f t="shared" si="47"/>
        <v>-640842.33759999997</v>
      </c>
      <c r="AV10" s="60">
        <f t="shared" si="47"/>
        <v>86075.723800000007</v>
      </c>
      <c r="AW10" s="60">
        <f t="shared" si="47"/>
        <v>1332662.7154000001</v>
      </c>
      <c r="AX10" s="60">
        <f t="shared" si="47"/>
        <v>1627814.6984999999</v>
      </c>
      <c r="AY10" s="60">
        <f t="shared" si="47"/>
        <v>143719.48209999999</v>
      </c>
      <c r="AZ10" s="60">
        <f t="shared" si="47"/>
        <v>682611.78520000004</v>
      </c>
      <c r="BA10" s="60">
        <f t="shared" si="47"/>
        <v>205493.63929999998</v>
      </c>
    </row>
    <row r="11" spans="1:55" x14ac:dyDescent="0.2">
      <c r="A11">
        <v>8</v>
      </c>
      <c r="B11" s="339" t="s">
        <v>926</v>
      </c>
      <c r="C11" s="338">
        <v>141.72999999999999</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row>
    <row r="12" spans="1:55" x14ac:dyDescent="0.2">
      <c r="A12">
        <v>9</v>
      </c>
      <c r="B12" s="209" t="s">
        <v>561</v>
      </c>
      <c r="C12" s="242"/>
      <c r="D12" s="242">
        <v>910782</v>
      </c>
      <c r="E12" s="242">
        <v>144905</v>
      </c>
      <c r="F12" s="242">
        <v>1348836</v>
      </c>
      <c r="G12" s="242">
        <v>601188</v>
      </c>
      <c r="H12" s="242">
        <v>10022843</v>
      </c>
      <c r="I12" s="242">
        <v>1283186</v>
      </c>
      <c r="J12" s="242">
        <v>935541</v>
      </c>
      <c r="K12" s="242">
        <v>212793</v>
      </c>
      <c r="L12" s="242">
        <v>4499793</v>
      </c>
      <c r="M12" s="242">
        <v>1638979</v>
      </c>
      <c r="N12" s="242">
        <v>312812</v>
      </c>
      <c r="O12" s="242">
        <v>264618</v>
      </c>
      <c r="P12" s="242">
        <v>3885689</v>
      </c>
      <c r="Q12" s="242">
        <v>1525810</v>
      </c>
      <c r="R12" s="242">
        <v>869056</v>
      </c>
      <c r="S12" s="242">
        <v>847767</v>
      </c>
      <c r="T12" s="242">
        <v>849491</v>
      </c>
      <c r="U12" s="242">
        <v>1246678</v>
      </c>
      <c r="V12" s="242">
        <v>266344</v>
      </c>
      <c r="W12" s="242">
        <v>1533799</v>
      </c>
      <c r="X12" s="242">
        <v>1803176</v>
      </c>
      <c r="Y12" s="242">
        <v>2724408</v>
      </c>
      <c r="Z12" s="242">
        <v>1356520</v>
      </c>
      <c r="AA12" s="242">
        <v>585185</v>
      </c>
      <c r="AB12" s="242">
        <v>1617996</v>
      </c>
      <c r="AC12" s="242">
        <v>218372</v>
      </c>
      <c r="AD12" s="242">
        <v>534692</v>
      </c>
      <c r="AE12" s="242">
        <v>456107</v>
      </c>
      <c r="AF12" s="242">
        <v>250060</v>
      </c>
      <c r="AG12" s="242">
        <v>2703489</v>
      </c>
      <c r="AH12" s="242">
        <v>452934</v>
      </c>
      <c r="AI12" s="242">
        <v>5716917</v>
      </c>
      <c r="AJ12" s="242">
        <v>1403033</v>
      </c>
      <c r="AK12" s="242">
        <v>204328</v>
      </c>
      <c r="AL12" s="242">
        <v>3392785</v>
      </c>
      <c r="AM12" s="242">
        <v>1028594</v>
      </c>
      <c r="AN12" s="242">
        <v>835545</v>
      </c>
      <c r="AO12" s="242">
        <v>3670338</v>
      </c>
      <c r="AP12" s="242">
        <v>293901</v>
      </c>
      <c r="AQ12" s="242">
        <v>825754</v>
      </c>
      <c r="AR12" s="242">
        <v>207996</v>
      </c>
      <c r="AS12" s="242">
        <v>1213934</v>
      </c>
      <c r="AT12" s="242">
        <v>5690550</v>
      </c>
      <c r="AU12" s="242">
        <v>528864</v>
      </c>
      <c r="AV12" s="242">
        <v>115201</v>
      </c>
      <c r="AW12" s="242">
        <v>1740787</v>
      </c>
      <c r="AX12" s="242">
        <v>1387396</v>
      </c>
      <c r="AY12" s="242">
        <v>427930</v>
      </c>
      <c r="AZ12" s="242">
        <v>1440024</v>
      </c>
      <c r="BA12" s="242">
        <v>151004</v>
      </c>
    </row>
    <row r="13" spans="1:55" x14ac:dyDescent="0.2">
      <c r="A13">
        <v>10</v>
      </c>
      <c r="B13" s="209" t="s">
        <v>562</v>
      </c>
      <c r="C13" s="300"/>
      <c r="D13" s="300">
        <v>0.54500000000000004</v>
      </c>
      <c r="E13" s="300">
        <v>0.623</v>
      </c>
      <c r="F13" s="300">
        <v>0.81299999999999994</v>
      </c>
      <c r="G13" s="300">
        <v>0.60099999999999998</v>
      </c>
      <c r="H13" s="300">
        <v>0.89600000000000002</v>
      </c>
      <c r="I13" s="300">
        <v>0.86899999999999999</v>
      </c>
      <c r="J13" s="300">
        <v>0.70799999999999996</v>
      </c>
      <c r="K13" s="300">
        <v>0.73399999999999999</v>
      </c>
      <c r="L13" s="300">
        <v>0.73799999999999999</v>
      </c>
      <c r="M13" s="300">
        <v>0.621</v>
      </c>
      <c r="N13" s="300">
        <v>0.80200000000000005</v>
      </c>
      <c r="O13" s="300">
        <v>0.64</v>
      </c>
      <c r="P13" s="300">
        <v>0.86199999999999999</v>
      </c>
      <c r="Q13" s="300">
        <v>0.67900000000000005</v>
      </c>
      <c r="R13" s="300">
        <v>0.76</v>
      </c>
      <c r="S13" s="300">
        <v>0.81200000000000006</v>
      </c>
      <c r="T13" s="300">
        <v>0.56399999999999995</v>
      </c>
      <c r="U13" s="300">
        <v>0.72599999999999998</v>
      </c>
      <c r="V13" s="300">
        <v>0.45400000000000001</v>
      </c>
      <c r="W13" s="300">
        <v>0.81100000000000005</v>
      </c>
      <c r="X13" s="300">
        <v>0.72899999999999998</v>
      </c>
      <c r="Y13" s="300">
        <v>0.70799999999999996</v>
      </c>
      <c r="Z13" s="300">
        <v>0.73399999999999999</v>
      </c>
      <c r="AA13" s="300">
        <v>0.57899999999999996</v>
      </c>
      <c r="AB13" s="300">
        <v>0.73599999999999999</v>
      </c>
      <c r="AC13" s="300">
        <v>0.60499999999999998</v>
      </c>
      <c r="AD13" s="300">
        <v>0.80900000000000005</v>
      </c>
      <c r="AE13" s="300">
        <v>0.879</v>
      </c>
      <c r="AF13" s="300">
        <v>0.496</v>
      </c>
      <c r="AG13" s="300">
        <v>0.879</v>
      </c>
      <c r="AH13" s="300">
        <v>0.496</v>
      </c>
      <c r="AI13" s="300">
        <v>0.879</v>
      </c>
      <c r="AJ13" s="300">
        <v>0.498</v>
      </c>
      <c r="AK13" s="300">
        <v>0.73899999999999999</v>
      </c>
      <c r="AL13" s="300">
        <v>0.77600000000000002</v>
      </c>
      <c r="AM13" s="300">
        <v>0.73099999999999998</v>
      </c>
      <c r="AN13" s="300">
        <v>0.7</v>
      </c>
      <c r="AO13" s="300">
        <v>0.74299999999999999</v>
      </c>
      <c r="AP13" s="300">
        <v>0.70899999999999996</v>
      </c>
      <c r="AQ13" s="300">
        <v>0.57999999999999996</v>
      </c>
      <c r="AR13" s="300">
        <v>0.71099999999999997</v>
      </c>
      <c r="AS13" s="300">
        <v>0.59899999999999998</v>
      </c>
      <c r="AT13" s="300">
        <v>0.81200000000000006</v>
      </c>
      <c r="AU13" s="300">
        <v>0.88400000000000001</v>
      </c>
      <c r="AV13" s="300">
        <v>0.42499999999999999</v>
      </c>
      <c r="AW13" s="300">
        <v>0.69699999999999995</v>
      </c>
      <c r="AX13" s="300">
        <v>0.68300000000000005</v>
      </c>
      <c r="AY13" s="300">
        <v>0.54800000000000004</v>
      </c>
      <c r="AZ13" s="300">
        <v>0.7</v>
      </c>
      <c r="BA13" s="300">
        <v>0.74199999999999999</v>
      </c>
    </row>
    <row r="14" spans="1:55" x14ac:dyDescent="0.2">
      <c r="A14">
        <v>11</v>
      </c>
      <c r="B14" s="209" t="s">
        <v>563</v>
      </c>
      <c r="C14" s="300"/>
      <c r="D14" s="300">
        <v>0.436</v>
      </c>
      <c r="E14" s="300">
        <v>0.25700000000000001</v>
      </c>
      <c r="F14" s="300">
        <v>0.17</v>
      </c>
      <c r="G14" s="300">
        <v>0.38200000000000001</v>
      </c>
      <c r="H14" s="300">
        <v>9.8000000000000004E-2</v>
      </c>
      <c r="I14" s="300">
        <v>0.124</v>
      </c>
      <c r="J14" s="300">
        <v>0.28599999999999998</v>
      </c>
      <c r="K14" s="300">
        <v>0.25700000000000001</v>
      </c>
      <c r="L14" s="300">
        <v>0.25600000000000001</v>
      </c>
      <c r="M14" s="300">
        <v>0.36799999999999999</v>
      </c>
      <c r="N14" s="300">
        <v>0.187</v>
      </c>
      <c r="O14" s="300">
        <v>0.34599999999999997</v>
      </c>
      <c r="P14" s="300">
        <v>0.13300000000000001</v>
      </c>
      <c r="Q14" s="300">
        <v>0.313</v>
      </c>
      <c r="R14" s="300">
        <v>0.23200000000000001</v>
      </c>
      <c r="S14" s="300">
        <v>0.17899999999999999</v>
      </c>
      <c r="T14" s="300">
        <v>0.39800000000000002</v>
      </c>
      <c r="U14" s="300">
        <v>0.25800000000000001</v>
      </c>
      <c r="V14" s="300">
        <v>0.51300000000000001</v>
      </c>
      <c r="W14" s="300">
        <v>0.18099999999999999</v>
      </c>
      <c r="X14" s="300">
        <v>0.26700000000000002</v>
      </c>
      <c r="Y14" s="300">
        <v>0.28299999999999997</v>
      </c>
      <c r="Z14" s="300">
        <v>0.253</v>
      </c>
      <c r="AA14" s="300">
        <v>0.38300000000000001</v>
      </c>
      <c r="AB14" s="300">
        <v>0.24199999999999999</v>
      </c>
      <c r="AC14" s="300">
        <v>0.375</v>
      </c>
      <c r="AD14" s="300">
        <v>0.17799999999999999</v>
      </c>
      <c r="AE14" s="300">
        <v>0.11700000000000001</v>
      </c>
      <c r="AF14" s="300">
        <v>0.49</v>
      </c>
      <c r="AG14" s="300">
        <v>0.11600000000000001</v>
      </c>
      <c r="AH14" s="300">
        <v>0.255</v>
      </c>
      <c r="AI14" s="300">
        <v>0.20200000000000001</v>
      </c>
      <c r="AJ14" s="300">
        <v>0.48499999999999999</v>
      </c>
      <c r="AK14" s="300">
        <v>0.24099999999999999</v>
      </c>
      <c r="AL14" s="300">
        <v>0.215</v>
      </c>
      <c r="AM14" s="300">
        <v>0.26100000000000001</v>
      </c>
      <c r="AN14" s="300">
        <v>0.29299999999999998</v>
      </c>
      <c r="AO14" s="300">
        <v>0.245</v>
      </c>
      <c r="AP14" s="300">
        <v>0.28599999999999998</v>
      </c>
      <c r="AQ14" s="300">
        <v>0.40600000000000003</v>
      </c>
      <c r="AR14" s="300">
        <v>0.26800000000000002</v>
      </c>
      <c r="AS14" s="300">
        <v>0.38600000000000001</v>
      </c>
      <c r="AT14" s="300">
        <v>0.18099999999999999</v>
      </c>
      <c r="AU14" s="300">
        <v>0.109</v>
      </c>
      <c r="AV14" s="300">
        <v>0.55000000000000004</v>
      </c>
      <c r="AW14" s="300">
        <v>0.28299999999999997</v>
      </c>
      <c r="AX14" s="300">
        <v>0.31</v>
      </c>
      <c r="AY14" s="300">
        <v>0.40799999999999997</v>
      </c>
      <c r="AZ14" s="300">
        <v>0.28299999999999997</v>
      </c>
      <c r="BA14" s="300">
        <v>0.24099999999999999</v>
      </c>
    </row>
    <row r="15" spans="1:55" x14ac:dyDescent="0.2">
      <c r="A15">
        <v>12</v>
      </c>
      <c r="B15" s="209" t="s">
        <v>564</v>
      </c>
      <c r="C15" s="242"/>
      <c r="D15" s="242">
        <v>2182199</v>
      </c>
      <c r="E15" s="242">
        <v>311182</v>
      </c>
      <c r="F15" s="242">
        <v>2864360</v>
      </c>
      <c r="G15" s="242">
        <v>1324471</v>
      </c>
      <c r="H15" s="242">
        <v>13721187</v>
      </c>
      <c r="I15" s="242">
        <v>2224661</v>
      </c>
      <c r="J15" s="242">
        <v>1494042</v>
      </c>
      <c r="K15" s="242">
        <v>409779</v>
      </c>
      <c r="L15" s="242">
        <v>9027271</v>
      </c>
      <c r="M15" s="242">
        <v>4103118</v>
      </c>
      <c r="N15" s="242">
        <v>522314</v>
      </c>
      <c r="O15" s="242">
        <v>674394</v>
      </c>
      <c r="P15" s="242">
        <v>5296209</v>
      </c>
      <c r="Q15" s="242">
        <v>2800799</v>
      </c>
      <c r="R15" s="242">
        <v>1340588</v>
      </c>
      <c r="S15" s="242">
        <v>1237738</v>
      </c>
      <c r="T15" s="242">
        <v>1932731</v>
      </c>
      <c r="U15" s="242">
        <v>1978974</v>
      </c>
      <c r="V15" s="242">
        <v>725650</v>
      </c>
      <c r="W15" s="242">
        <v>2391508</v>
      </c>
      <c r="X15" s="242">
        <v>2819028</v>
      </c>
      <c r="Y15" s="242">
        <v>4525654</v>
      </c>
      <c r="Z15" s="242">
        <v>2354075</v>
      </c>
      <c r="AA15" s="242">
        <v>1281760</v>
      </c>
      <c r="AB15" s="242">
        <v>2723449</v>
      </c>
      <c r="AC15" s="242">
        <v>489183</v>
      </c>
      <c r="AD15" s="242">
        <v>801182</v>
      </c>
      <c r="AE15" s="242">
        <v>1183917</v>
      </c>
      <c r="AF15" s="242">
        <v>617702</v>
      </c>
      <c r="AG15" s="242">
        <v>3562720</v>
      </c>
      <c r="AH15" s="242">
        <v>908168</v>
      </c>
      <c r="AI15" s="242">
        <v>8119804</v>
      </c>
      <c r="AJ15" s="242">
        <v>4362956</v>
      </c>
      <c r="AK15" s="242">
        <v>320888</v>
      </c>
      <c r="AL15" s="242">
        <v>5133528</v>
      </c>
      <c r="AM15" s="242">
        <v>1674724</v>
      </c>
      <c r="AN15" s="242">
        <v>1684244</v>
      </c>
      <c r="AO15" s="242">
        <v>5579394</v>
      </c>
      <c r="AP15" s="242">
        <v>464741</v>
      </c>
      <c r="AQ15" s="242">
        <v>2157063</v>
      </c>
      <c r="AR15" s="242">
        <v>366521</v>
      </c>
      <c r="AS15" s="242">
        <v>2829125</v>
      </c>
      <c r="AT15" s="242">
        <v>10099242</v>
      </c>
      <c r="AU15" s="242">
        <v>993125</v>
      </c>
      <c r="AV15" s="242">
        <v>324385</v>
      </c>
      <c r="AW15" s="242">
        <v>3387801</v>
      </c>
      <c r="AX15" s="242">
        <v>2907605</v>
      </c>
      <c r="AY15" s="242">
        <v>881821</v>
      </c>
      <c r="AZ15" s="242">
        <v>2634806</v>
      </c>
      <c r="BA15" s="242">
        <v>265554</v>
      </c>
    </row>
    <row r="16" spans="1:55" x14ac:dyDescent="0.2">
      <c r="A16">
        <v>13</v>
      </c>
      <c r="B16" s="209" t="s">
        <v>565</v>
      </c>
      <c r="C16" s="242"/>
      <c r="D16" s="242">
        <v>2174428</v>
      </c>
      <c r="E16" s="242">
        <v>307065</v>
      </c>
      <c r="F16" s="242">
        <v>2846738</v>
      </c>
      <c r="G16" s="242">
        <v>1317818</v>
      </c>
      <c r="H16" s="242">
        <v>13682976</v>
      </c>
      <c r="I16" s="242">
        <v>2214262</v>
      </c>
      <c r="J16" s="242">
        <v>1488215</v>
      </c>
      <c r="K16" s="242">
        <v>406489</v>
      </c>
      <c r="L16" s="242">
        <v>8994091</v>
      </c>
      <c r="M16" s="242">
        <v>4091482</v>
      </c>
      <c r="N16" s="242">
        <v>519992</v>
      </c>
      <c r="O16" s="242">
        <v>668634</v>
      </c>
      <c r="P16" s="242">
        <v>5297077</v>
      </c>
      <c r="Q16" s="242">
        <v>2797172</v>
      </c>
      <c r="R16" s="242">
        <v>1337563</v>
      </c>
      <c r="S16" s="242">
        <v>1234037</v>
      </c>
      <c r="T16" s="242">
        <v>1928617</v>
      </c>
      <c r="U16" s="242">
        <v>1967947</v>
      </c>
      <c r="V16" s="242">
        <v>722217</v>
      </c>
      <c r="W16" s="242">
        <v>2380605</v>
      </c>
      <c r="X16" s="242">
        <v>2808727</v>
      </c>
      <c r="Y16" s="242">
        <v>4531231</v>
      </c>
      <c r="Z16" s="242">
        <v>2348242</v>
      </c>
      <c r="AA16" s="242">
        <v>1276441</v>
      </c>
      <c r="AB16" s="242">
        <v>2714017</v>
      </c>
      <c r="AC16" s="242">
        <v>483006</v>
      </c>
      <c r="AD16" s="242">
        <v>797677</v>
      </c>
      <c r="AE16" s="242">
        <v>1175070</v>
      </c>
      <c r="AF16" s="242">
        <v>614996</v>
      </c>
      <c r="AG16" s="242">
        <v>3554909</v>
      </c>
      <c r="AH16" s="242">
        <v>902242</v>
      </c>
      <c r="AI16" s="242">
        <v>8108211</v>
      </c>
      <c r="AJ16" s="242">
        <v>4333479</v>
      </c>
      <c r="AK16" s="242">
        <v>318099</v>
      </c>
      <c r="AL16" s="242">
        <v>5128113</v>
      </c>
      <c r="AM16" s="242">
        <v>1666205</v>
      </c>
      <c r="AN16" s="242">
        <v>1675562</v>
      </c>
      <c r="AO16" s="242">
        <v>5567315</v>
      </c>
      <c r="AP16" s="242">
        <v>463388</v>
      </c>
      <c r="AQ16" s="242">
        <v>2137683</v>
      </c>
      <c r="AR16" s="242">
        <v>363438</v>
      </c>
      <c r="AS16" s="242">
        <v>2812133</v>
      </c>
      <c r="AT16" s="242">
        <v>9977436</v>
      </c>
      <c r="AU16" s="242">
        <v>979709</v>
      </c>
      <c r="AV16" s="242">
        <v>322698</v>
      </c>
      <c r="AW16" s="242">
        <v>3364939</v>
      </c>
      <c r="AX16" s="242">
        <v>2888594</v>
      </c>
      <c r="AY16" s="242">
        <v>882213</v>
      </c>
      <c r="AZ16" s="242">
        <v>2625477</v>
      </c>
      <c r="BA16" s="242">
        <v>262286</v>
      </c>
    </row>
    <row r="17" spans="1:53" x14ac:dyDescent="0.2">
      <c r="A17">
        <v>14</v>
      </c>
      <c r="B17" s="92" t="s">
        <v>568</v>
      </c>
      <c r="C17" s="60"/>
      <c r="D17" s="60">
        <f t="shared" ref="D17:BA17" si="48">D14*D16</f>
        <v>948050.60800000001</v>
      </c>
      <c r="E17" s="60">
        <f t="shared" si="48"/>
        <v>78915.705000000002</v>
      </c>
      <c r="F17" s="60">
        <f t="shared" si="48"/>
        <v>483945.46</v>
      </c>
      <c r="G17" s="60">
        <f t="shared" si="48"/>
        <v>503406.47600000002</v>
      </c>
      <c r="H17" s="60">
        <f t="shared" si="48"/>
        <v>1340931.648</v>
      </c>
      <c r="I17" s="60">
        <f t="shared" si="48"/>
        <v>274568.48800000001</v>
      </c>
      <c r="J17" s="60">
        <f t="shared" si="48"/>
        <v>425629.49</v>
      </c>
      <c r="K17" s="60">
        <f t="shared" si="48"/>
        <v>104467.67300000001</v>
      </c>
      <c r="L17" s="60">
        <f t="shared" si="48"/>
        <v>2302487.2960000001</v>
      </c>
      <c r="M17" s="60">
        <f t="shared" si="48"/>
        <v>1505665.3759999999</v>
      </c>
      <c r="N17" s="60">
        <f t="shared" si="48"/>
        <v>97238.504000000001</v>
      </c>
      <c r="O17" s="60">
        <f t="shared" si="48"/>
        <v>231347.36399999997</v>
      </c>
      <c r="P17" s="60">
        <f t="shared" si="48"/>
        <v>704511.24100000004</v>
      </c>
      <c r="Q17" s="60">
        <f t="shared" si="48"/>
        <v>875514.83600000001</v>
      </c>
      <c r="R17" s="60">
        <f t="shared" si="48"/>
        <v>310314.61600000004</v>
      </c>
      <c r="S17" s="60">
        <f t="shared" si="48"/>
        <v>220892.62299999999</v>
      </c>
      <c r="T17" s="60">
        <f t="shared" si="48"/>
        <v>767589.56599999999</v>
      </c>
      <c r="U17" s="60">
        <f t="shared" si="48"/>
        <v>507730.326</v>
      </c>
      <c r="V17" s="60">
        <f t="shared" si="48"/>
        <v>370497.321</v>
      </c>
      <c r="W17" s="60">
        <f t="shared" si="48"/>
        <v>430889.505</v>
      </c>
      <c r="X17" s="60">
        <f t="shared" si="48"/>
        <v>749930.10900000005</v>
      </c>
      <c r="Y17" s="60">
        <f t="shared" si="48"/>
        <v>1282338.3729999999</v>
      </c>
      <c r="Z17" s="60">
        <f t="shared" si="48"/>
        <v>594105.22600000002</v>
      </c>
      <c r="AA17" s="60">
        <f t="shared" si="48"/>
        <v>488876.90299999999</v>
      </c>
      <c r="AB17" s="60">
        <f t="shared" si="48"/>
        <v>656792.11399999994</v>
      </c>
      <c r="AC17" s="60">
        <f t="shared" si="48"/>
        <v>181127.25</v>
      </c>
      <c r="AD17" s="60">
        <f t="shared" si="48"/>
        <v>141986.50599999999</v>
      </c>
      <c r="AE17" s="60">
        <f t="shared" si="48"/>
        <v>137483.19</v>
      </c>
      <c r="AF17" s="60">
        <f t="shared" si="48"/>
        <v>301348.03999999998</v>
      </c>
      <c r="AG17" s="60">
        <f t="shared" si="48"/>
        <v>412369.44400000002</v>
      </c>
      <c r="AH17" s="60">
        <f t="shared" si="48"/>
        <v>230071.71</v>
      </c>
      <c r="AI17" s="60">
        <f t="shared" si="48"/>
        <v>1637858.6220000002</v>
      </c>
      <c r="AJ17" s="60">
        <f t="shared" si="48"/>
        <v>2101737.3149999999</v>
      </c>
      <c r="AK17" s="60">
        <f t="shared" si="48"/>
        <v>76661.858999999997</v>
      </c>
      <c r="AL17" s="60">
        <f t="shared" si="48"/>
        <v>1102544.2949999999</v>
      </c>
      <c r="AM17" s="60">
        <f t="shared" si="48"/>
        <v>434879.505</v>
      </c>
      <c r="AN17" s="60">
        <f t="shared" si="48"/>
        <v>490939.66599999997</v>
      </c>
      <c r="AO17" s="60">
        <f t="shared" si="48"/>
        <v>1363992.175</v>
      </c>
      <c r="AP17" s="60">
        <f t="shared" si="48"/>
        <v>132528.96799999999</v>
      </c>
      <c r="AQ17" s="60">
        <f t="shared" si="48"/>
        <v>867899.29800000007</v>
      </c>
      <c r="AR17" s="60">
        <f t="shared" si="48"/>
        <v>97401.384000000005</v>
      </c>
      <c r="AS17" s="60">
        <f t="shared" si="48"/>
        <v>1085483.338</v>
      </c>
      <c r="AT17" s="60">
        <f t="shared" si="48"/>
        <v>1805915.916</v>
      </c>
      <c r="AU17" s="60">
        <f t="shared" si="48"/>
        <v>106788.281</v>
      </c>
      <c r="AV17" s="60">
        <f t="shared" si="48"/>
        <v>177483.90000000002</v>
      </c>
      <c r="AW17" s="60">
        <f t="shared" si="48"/>
        <v>952277.73699999996</v>
      </c>
      <c r="AX17" s="60">
        <f t="shared" si="48"/>
        <v>895464.14</v>
      </c>
      <c r="AY17" s="60">
        <f t="shared" si="48"/>
        <v>359942.90399999998</v>
      </c>
      <c r="AZ17" s="60">
        <f t="shared" si="48"/>
        <v>743009.99099999992</v>
      </c>
      <c r="BA17" s="60">
        <f t="shared" si="48"/>
        <v>63210.925999999999</v>
      </c>
    </row>
    <row r="18" spans="1:53" x14ac:dyDescent="0.2">
      <c r="A18">
        <v>15</v>
      </c>
      <c r="B18" s="92" t="s">
        <v>567</v>
      </c>
      <c r="C18" s="60"/>
      <c r="D18" s="60">
        <f t="shared" ref="D18:BA18" si="49">D14*D15</f>
        <v>951438.76399999997</v>
      </c>
      <c r="E18" s="60">
        <f t="shared" si="49"/>
        <v>79973.774000000005</v>
      </c>
      <c r="F18" s="60">
        <f t="shared" si="49"/>
        <v>486941.2</v>
      </c>
      <c r="G18" s="60">
        <f t="shared" si="49"/>
        <v>505947.92200000002</v>
      </c>
      <c r="H18" s="60">
        <f t="shared" si="49"/>
        <v>1344676.3260000001</v>
      </c>
      <c r="I18" s="60">
        <f t="shared" si="49"/>
        <v>275857.96399999998</v>
      </c>
      <c r="J18" s="60">
        <f t="shared" si="49"/>
        <v>427296.01199999999</v>
      </c>
      <c r="K18" s="60">
        <f t="shared" si="49"/>
        <v>105313.20300000001</v>
      </c>
      <c r="L18" s="60">
        <f t="shared" si="49"/>
        <v>2310981.3760000002</v>
      </c>
      <c r="M18" s="60">
        <f t="shared" si="49"/>
        <v>1509947.4239999999</v>
      </c>
      <c r="N18" s="60">
        <f t="shared" si="49"/>
        <v>97672.717999999993</v>
      </c>
      <c r="O18" s="60">
        <f t="shared" si="49"/>
        <v>233340.32399999999</v>
      </c>
      <c r="P18" s="60">
        <f t="shared" si="49"/>
        <v>704395.79700000002</v>
      </c>
      <c r="Q18" s="60">
        <f t="shared" si="49"/>
        <v>876650.08700000006</v>
      </c>
      <c r="R18" s="60">
        <f t="shared" si="49"/>
        <v>311016.41600000003</v>
      </c>
      <c r="S18" s="60">
        <f t="shared" si="49"/>
        <v>221555.10199999998</v>
      </c>
      <c r="T18" s="60">
        <f t="shared" si="49"/>
        <v>769226.93800000008</v>
      </c>
      <c r="U18" s="60">
        <f t="shared" si="49"/>
        <v>510575.29200000002</v>
      </c>
      <c r="V18" s="60">
        <f t="shared" si="49"/>
        <v>372258.45</v>
      </c>
      <c r="W18" s="60">
        <f t="shared" si="49"/>
        <v>432862.94799999997</v>
      </c>
      <c r="X18" s="60">
        <f t="shared" si="49"/>
        <v>752680.47600000002</v>
      </c>
      <c r="Y18" s="60">
        <f t="shared" si="49"/>
        <v>1280760.0819999999</v>
      </c>
      <c r="Z18" s="60">
        <f t="shared" si="49"/>
        <v>595580.97499999998</v>
      </c>
      <c r="AA18" s="60">
        <f t="shared" si="49"/>
        <v>490914.08</v>
      </c>
      <c r="AB18" s="60">
        <f t="shared" si="49"/>
        <v>659074.65799999994</v>
      </c>
      <c r="AC18" s="60">
        <f t="shared" si="49"/>
        <v>183443.625</v>
      </c>
      <c r="AD18" s="60">
        <f t="shared" si="49"/>
        <v>142610.39599999998</v>
      </c>
      <c r="AE18" s="60">
        <f t="shared" si="49"/>
        <v>138518.28900000002</v>
      </c>
      <c r="AF18" s="60">
        <f t="shared" si="49"/>
        <v>302673.98</v>
      </c>
      <c r="AG18" s="60">
        <f t="shared" si="49"/>
        <v>413275.52</v>
      </c>
      <c r="AH18" s="60">
        <f t="shared" si="49"/>
        <v>231582.84</v>
      </c>
      <c r="AI18" s="60">
        <f t="shared" si="49"/>
        <v>1640200.4080000001</v>
      </c>
      <c r="AJ18" s="60">
        <f t="shared" si="49"/>
        <v>2116033.66</v>
      </c>
      <c r="AK18" s="60">
        <f t="shared" si="49"/>
        <v>77334.008000000002</v>
      </c>
      <c r="AL18" s="60">
        <f t="shared" si="49"/>
        <v>1103708.52</v>
      </c>
      <c r="AM18" s="60">
        <f t="shared" si="49"/>
        <v>437102.96400000004</v>
      </c>
      <c r="AN18" s="60">
        <f t="shared" si="49"/>
        <v>493483.49199999997</v>
      </c>
      <c r="AO18" s="60">
        <f t="shared" si="49"/>
        <v>1366951.53</v>
      </c>
      <c r="AP18" s="60">
        <f t="shared" si="49"/>
        <v>132915.92599999998</v>
      </c>
      <c r="AQ18" s="60">
        <f t="shared" si="49"/>
        <v>875767.5780000001</v>
      </c>
      <c r="AR18" s="60">
        <f t="shared" si="49"/>
        <v>98227.628000000012</v>
      </c>
      <c r="AS18" s="60">
        <f t="shared" si="49"/>
        <v>1092042.25</v>
      </c>
      <c r="AT18" s="60">
        <f t="shared" si="49"/>
        <v>1827962.8019999999</v>
      </c>
      <c r="AU18" s="60">
        <f t="shared" si="49"/>
        <v>108250.625</v>
      </c>
      <c r="AV18" s="60">
        <f t="shared" si="49"/>
        <v>178411.75</v>
      </c>
      <c r="AW18" s="60">
        <f t="shared" si="49"/>
        <v>958747.68299999996</v>
      </c>
      <c r="AX18" s="60">
        <f t="shared" si="49"/>
        <v>901357.55</v>
      </c>
      <c r="AY18" s="60">
        <f t="shared" si="49"/>
        <v>359782.96799999999</v>
      </c>
      <c r="AZ18" s="60">
        <f t="shared" si="49"/>
        <v>745650.09799999988</v>
      </c>
      <c r="BA18" s="60">
        <f t="shared" si="49"/>
        <v>63998.513999999996</v>
      </c>
    </row>
    <row r="19" spans="1:53" x14ac:dyDescent="0.2">
      <c r="A19">
        <v>16</v>
      </c>
      <c r="B19" s="92" t="s">
        <v>893</v>
      </c>
      <c r="C19" s="60"/>
      <c r="D19" s="60">
        <f t="shared" ref="D19:BA19" si="50">D18-D17</f>
        <v>3388.155999999959</v>
      </c>
      <c r="E19" s="60">
        <f t="shared" si="50"/>
        <v>1058.0690000000031</v>
      </c>
      <c r="F19" s="60">
        <f t="shared" si="50"/>
        <v>2995.7399999999907</v>
      </c>
      <c r="G19" s="60">
        <f t="shared" si="50"/>
        <v>2541.4459999999963</v>
      </c>
      <c r="H19" s="60">
        <f t="shared" si="50"/>
        <v>3744.6780000000726</v>
      </c>
      <c r="I19" s="60">
        <f t="shared" si="50"/>
        <v>1289.475999999966</v>
      </c>
      <c r="J19" s="60">
        <f t="shared" si="50"/>
        <v>1666.5219999999972</v>
      </c>
      <c r="K19" s="60">
        <f t="shared" si="50"/>
        <v>845.52999999999884</v>
      </c>
      <c r="L19" s="60">
        <f t="shared" si="50"/>
        <v>8494.0800000000745</v>
      </c>
      <c r="M19" s="60">
        <f t="shared" si="50"/>
        <v>4282.0479999999516</v>
      </c>
      <c r="N19" s="60">
        <f t="shared" si="50"/>
        <v>434.21399999999267</v>
      </c>
      <c r="O19" s="60">
        <f t="shared" si="50"/>
        <v>1992.960000000021</v>
      </c>
      <c r="P19" s="60">
        <f t="shared" si="50"/>
        <v>-115.4440000000177</v>
      </c>
      <c r="Q19" s="60">
        <f t="shared" si="50"/>
        <v>1135.2510000000475</v>
      </c>
      <c r="R19" s="60">
        <f t="shared" si="50"/>
        <v>701.79999999998836</v>
      </c>
      <c r="S19" s="60">
        <f t="shared" si="50"/>
        <v>662.47899999999208</v>
      </c>
      <c r="T19" s="60">
        <f t="shared" si="50"/>
        <v>1637.3720000000903</v>
      </c>
      <c r="U19" s="60">
        <f t="shared" si="50"/>
        <v>2844.9660000000149</v>
      </c>
      <c r="V19" s="60">
        <f t="shared" si="50"/>
        <v>1761.1290000000154</v>
      </c>
      <c r="W19" s="60">
        <f t="shared" si="50"/>
        <v>1973.4429999999702</v>
      </c>
      <c r="X19" s="60">
        <f t="shared" si="50"/>
        <v>2750.3669999999693</v>
      </c>
      <c r="Y19" s="60">
        <f t="shared" si="50"/>
        <v>-1578.2909999999683</v>
      </c>
      <c r="Z19" s="60">
        <f t="shared" si="50"/>
        <v>1475.7489999999525</v>
      </c>
      <c r="AA19" s="60">
        <f t="shared" si="50"/>
        <v>2037.1770000000251</v>
      </c>
      <c r="AB19" s="60">
        <f t="shared" si="50"/>
        <v>2282.5439999999944</v>
      </c>
      <c r="AC19" s="60">
        <f t="shared" si="50"/>
        <v>2316.375</v>
      </c>
      <c r="AD19" s="60">
        <f t="shared" si="50"/>
        <v>623.88999999998487</v>
      </c>
      <c r="AE19" s="60">
        <f t="shared" si="50"/>
        <v>1035.0990000000165</v>
      </c>
      <c r="AF19" s="60">
        <f t="shared" si="50"/>
        <v>1325.9400000000023</v>
      </c>
      <c r="AG19" s="60">
        <f t="shared" si="50"/>
        <v>906.07600000000093</v>
      </c>
      <c r="AH19" s="60">
        <f t="shared" si="50"/>
        <v>1511.1300000000047</v>
      </c>
      <c r="AI19" s="60">
        <f t="shared" si="50"/>
        <v>2341.7859999998473</v>
      </c>
      <c r="AJ19" s="60">
        <f t="shared" si="50"/>
        <v>14296.345000000205</v>
      </c>
      <c r="AK19" s="60">
        <f t="shared" si="50"/>
        <v>672.14900000000489</v>
      </c>
      <c r="AL19" s="60">
        <f t="shared" si="50"/>
        <v>1164.2250000000931</v>
      </c>
      <c r="AM19" s="60">
        <f t="shared" si="50"/>
        <v>2223.4590000000317</v>
      </c>
      <c r="AN19" s="60">
        <f t="shared" si="50"/>
        <v>2543.8260000000009</v>
      </c>
      <c r="AO19" s="60">
        <f t="shared" si="50"/>
        <v>2959.3549999999814</v>
      </c>
      <c r="AP19" s="60">
        <f t="shared" si="50"/>
        <v>386.95799999998417</v>
      </c>
      <c r="AQ19" s="60">
        <f t="shared" si="50"/>
        <v>7868.2800000000279</v>
      </c>
      <c r="AR19" s="60">
        <f t="shared" si="50"/>
        <v>826.24400000000605</v>
      </c>
      <c r="AS19" s="60">
        <f t="shared" si="50"/>
        <v>6558.9120000000112</v>
      </c>
      <c r="AT19" s="60">
        <f t="shared" si="50"/>
        <v>22046.88599999994</v>
      </c>
      <c r="AU19" s="60">
        <f t="shared" si="50"/>
        <v>1462.3439999999973</v>
      </c>
      <c r="AV19" s="60">
        <f t="shared" si="50"/>
        <v>927.84999999997672</v>
      </c>
      <c r="AW19" s="60">
        <f t="shared" si="50"/>
        <v>6469.9459999999963</v>
      </c>
      <c r="AX19" s="60">
        <f t="shared" si="50"/>
        <v>5893.4100000000326</v>
      </c>
      <c r="AY19" s="60">
        <f t="shared" si="50"/>
        <v>-159.93599999998696</v>
      </c>
      <c r="AZ19" s="60">
        <f t="shared" si="50"/>
        <v>2640.10699999996</v>
      </c>
      <c r="BA19" s="60">
        <f t="shared" si="50"/>
        <v>787.5879999999961</v>
      </c>
    </row>
    <row r="20" spans="1:53" x14ac:dyDescent="0.2">
      <c r="A20">
        <v>17</v>
      </c>
      <c r="B20" s="92" t="s">
        <v>566</v>
      </c>
      <c r="C20" s="60"/>
      <c r="D20" s="60">
        <f>D13*D15</f>
        <v>1189298.4550000001</v>
      </c>
      <c r="E20" s="60">
        <f t="shared" ref="E20:BA20" si="51">E13*E15</f>
        <v>193866.386</v>
      </c>
      <c r="F20" s="60">
        <f t="shared" si="51"/>
        <v>2328724.6799999997</v>
      </c>
      <c r="G20" s="60">
        <f t="shared" si="51"/>
        <v>796007.071</v>
      </c>
      <c r="H20" s="60">
        <f t="shared" si="51"/>
        <v>12294183.552000001</v>
      </c>
      <c r="I20" s="60">
        <f t="shared" si="51"/>
        <v>1933230.409</v>
      </c>
      <c r="J20" s="60">
        <f t="shared" si="51"/>
        <v>1057781.736</v>
      </c>
      <c r="K20" s="60">
        <f t="shared" si="51"/>
        <v>300777.78600000002</v>
      </c>
      <c r="L20" s="60">
        <f t="shared" si="51"/>
        <v>6662125.9979999997</v>
      </c>
      <c r="M20" s="60">
        <f t="shared" si="51"/>
        <v>2548036.2779999999</v>
      </c>
      <c r="N20" s="60">
        <f t="shared" si="51"/>
        <v>418895.82800000004</v>
      </c>
      <c r="O20" s="60">
        <f t="shared" si="51"/>
        <v>431612.16000000003</v>
      </c>
      <c r="P20" s="60">
        <f t="shared" si="51"/>
        <v>4565332.1579999998</v>
      </c>
      <c r="Q20" s="60">
        <f t="shared" si="51"/>
        <v>1901742.5210000002</v>
      </c>
      <c r="R20" s="60">
        <f t="shared" si="51"/>
        <v>1018846.88</v>
      </c>
      <c r="S20" s="60">
        <f t="shared" si="51"/>
        <v>1005043.2560000001</v>
      </c>
      <c r="T20" s="60">
        <f t="shared" si="51"/>
        <v>1090060.284</v>
      </c>
      <c r="U20" s="60">
        <f t="shared" si="51"/>
        <v>1436735.1240000001</v>
      </c>
      <c r="V20" s="60">
        <f t="shared" si="51"/>
        <v>329445.10000000003</v>
      </c>
      <c r="W20" s="60">
        <f t="shared" si="51"/>
        <v>1939512.9880000001</v>
      </c>
      <c r="X20" s="60">
        <f t="shared" si="51"/>
        <v>2055071.412</v>
      </c>
      <c r="Y20" s="60">
        <f t="shared" si="51"/>
        <v>3204163.0319999997</v>
      </c>
      <c r="Z20" s="60">
        <f t="shared" si="51"/>
        <v>1727891.05</v>
      </c>
      <c r="AA20" s="60">
        <f t="shared" si="51"/>
        <v>742139.03999999992</v>
      </c>
      <c r="AB20" s="60">
        <f t="shared" si="51"/>
        <v>2004458.4639999999</v>
      </c>
      <c r="AC20" s="60">
        <f t="shared" si="51"/>
        <v>295955.71499999997</v>
      </c>
      <c r="AD20" s="60">
        <f t="shared" si="51"/>
        <v>648156.23800000001</v>
      </c>
      <c r="AE20" s="60">
        <f t="shared" si="51"/>
        <v>1040663.0429999999</v>
      </c>
      <c r="AF20" s="60">
        <f t="shared" si="51"/>
        <v>306380.19199999998</v>
      </c>
      <c r="AG20" s="60">
        <f t="shared" si="51"/>
        <v>3131630.88</v>
      </c>
      <c r="AH20" s="60">
        <f t="shared" si="51"/>
        <v>450451.32799999998</v>
      </c>
      <c r="AI20" s="60">
        <f t="shared" si="51"/>
        <v>7137307.716</v>
      </c>
      <c r="AJ20" s="60">
        <f t="shared" si="51"/>
        <v>2172752.088</v>
      </c>
      <c r="AK20" s="60">
        <f t="shared" si="51"/>
        <v>237136.23199999999</v>
      </c>
      <c r="AL20" s="60">
        <f t="shared" si="51"/>
        <v>3983617.7280000001</v>
      </c>
      <c r="AM20" s="60">
        <f t="shared" si="51"/>
        <v>1224223.2439999999</v>
      </c>
      <c r="AN20" s="60">
        <f t="shared" si="51"/>
        <v>1178970.7999999998</v>
      </c>
      <c r="AO20" s="60">
        <f t="shared" si="51"/>
        <v>4145489.7420000001</v>
      </c>
      <c r="AP20" s="60">
        <f t="shared" si="51"/>
        <v>329501.36900000001</v>
      </c>
      <c r="AQ20" s="60">
        <f t="shared" si="51"/>
        <v>1251096.5399999998</v>
      </c>
      <c r="AR20" s="60">
        <f t="shared" si="51"/>
        <v>260596.43099999998</v>
      </c>
      <c r="AS20" s="60">
        <f t="shared" si="51"/>
        <v>1694645.875</v>
      </c>
      <c r="AT20" s="60">
        <f t="shared" si="51"/>
        <v>8200584.5040000007</v>
      </c>
      <c r="AU20" s="60">
        <f t="shared" si="51"/>
        <v>877922.5</v>
      </c>
      <c r="AV20" s="60">
        <f t="shared" si="51"/>
        <v>137863.625</v>
      </c>
      <c r="AW20" s="60">
        <f t="shared" si="51"/>
        <v>2361297.2969999998</v>
      </c>
      <c r="AX20" s="60">
        <f t="shared" si="51"/>
        <v>1985894.2150000001</v>
      </c>
      <c r="AY20" s="60">
        <f t="shared" si="51"/>
        <v>483237.90800000005</v>
      </c>
      <c r="AZ20" s="60">
        <f t="shared" si="51"/>
        <v>1844364.2</v>
      </c>
      <c r="BA20" s="60">
        <f t="shared" si="51"/>
        <v>197041.068</v>
      </c>
    </row>
    <row r="21" spans="1:53" x14ac:dyDescent="0.2">
      <c r="A21">
        <v>18</v>
      </c>
      <c r="B21" s="339" t="s">
        <v>910</v>
      </c>
      <c r="C21" s="338">
        <v>52.25</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row>
    <row r="22" spans="1:53" x14ac:dyDescent="0.2">
      <c r="A22">
        <v>19</v>
      </c>
      <c r="B22" s="92" t="s">
        <v>909</v>
      </c>
      <c r="C22" s="338">
        <v>5225.0600000000004</v>
      </c>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row>
    <row r="23" spans="1:53" x14ac:dyDescent="0.2">
      <c r="A23">
        <v>20</v>
      </c>
      <c r="B23" s="92" t="s">
        <v>907</v>
      </c>
      <c r="C23" s="338">
        <v>475.48</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row>
    <row r="24" spans="1:53" x14ac:dyDescent="0.2">
      <c r="A24">
        <v>21</v>
      </c>
      <c r="B24" s="92" t="s">
        <v>913</v>
      </c>
      <c r="C24" s="60"/>
      <c r="D24" s="60">
        <f t="shared" ref="D24:BA24" si="52">D18*$C21</f>
        <v>49712675.419</v>
      </c>
      <c r="E24" s="60">
        <f t="shared" si="52"/>
        <v>4178629.6915000002</v>
      </c>
      <c r="F24" s="60">
        <f t="shared" si="52"/>
        <v>25442677.699999999</v>
      </c>
      <c r="G24" s="60">
        <f t="shared" si="52"/>
        <v>26435778.9245</v>
      </c>
      <c r="H24" s="60">
        <f t="shared" si="52"/>
        <v>70259338.033500001</v>
      </c>
      <c r="I24" s="60">
        <f t="shared" si="52"/>
        <v>14413578.618999999</v>
      </c>
      <c r="J24" s="60">
        <f t="shared" si="52"/>
        <v>22326216.627</v>
      </c>
      <c r="K24" s="60">
        <f t="shared" si="52"/>
        <v>5502614.8567500003</v>
      </c>
      <c r="L24" s="60">
        <f t="shared" si="52"/>
        <v>120748776.89600001</v>
      </c>
      <c r="M24" s="60">
        <f t="shared" si="52"/>
        <v>78894752.903999999</v>
      </c>
      <c r="N24" s="60">
        <f t="shared" si="52"/>
        <v>5103399.5154999997</v>
      </c>
      <c r="O24" s="60">
        <f t="shared" si="52"/>
        <v>12192031.929</v>
      </c>
      <c r="P24" s="60">
        <f t="shared" si="52"/>
        <v>36804680.393250003</v>
      </c>
      <c r="Q24" s="60">
        <f t="shared" si="52"/>
        <v>45804967.04575</v>
      </c>
      <c r="R24" s="60">
        <f t="shared" si="52"/>
        <v>16250607.736000001</v>
      </c>
      <c r="S24" s="60">
        <f t="shared" si="52"/>
        <v>11576254.079499999</v>
      </c>
      <c r="T24" s="60">
        <f t="shared" si="52"/>
        <v>40192107.510500006</v>
      </c>
      <c r="U24" s="60">
        <f t="shared" si="52"/>
        <v>26677559.006999999</v>
      </c>
      <c r="V24" s="60">
        <f t="shared" si="52"/>
        <v>19450504.012499999</v>
      </c>
      <c r="W24" s="60">
        <f t="shared" si="52"/>
        <v>22617089.033</v>
      </c>
      <c r="X24" s="60">
        <f t="shared" si="52"/>
        <v>39327554.870999999</v>
      </c>
      <c r="Y24" s="60">
        <f t="shared" si="52"/>
        <v>66919714.284499995</v>
      </c>
      <c r="Z24" s="60">
        <f t="shared" si="52"/>
        <v>31119105.943749998</v>
      </c>
      <c r="AA24" s="60">
        <f t="shared" si="52"/>
        <v>25650260.68</v>
      </c>
      <c r="AB24" s="60">
        <f t="shared" si="52"/>
        <v>34436650.880499996</v>
      </c>
      <c r="AC24" s="60">
        <f t="shared" si="52"/>
        <v>9584929.40625</v>
      </c>
      <c r="AD24" s="60">
        <f t="shared" si="52"/>
        <v>7451393.1909999987</v>
      </c>
      <c r="AE24" s="60">
        <f t="shared" si="52"/>
        <v>7237580.6002500011</v>
      </c>
      <c r="AF24" s="60">
        <f t="shared" si="52"/>
        <v>15814715.454999998</v>
      </c>
      <c r="AG24" s="60">
        <f t="shared" si="52"/>
        <v>21593645.920000002</v>
      </c>
      <c r="AH24" s="60">
        <f t="shared" si="52"/>
        <v>12100203.390000001</v>
      </c>
      <c r="AI24" s="60">
        <f t="shared" si="52"/>
        <v>85700471.318000004</v>
      </c>
      <c r="AJ24" s="60">
        <f t="shared" si="52"/>
        <v>110562758.73500001</v>
      </c>
      <c r="AK24" s="60">
        <f t="shared" si="52"/>
        <v>4040701.9180000001</v>
      </c>
      <c r="AL24" s="60">
        <f t="shared" si="52"/>
        <v>57668770.170000002</v>
      </c>
      <c r="AM24" s="60">
        <f t="shared" si="52"/>
        <v>22838629.869000003</v>
      </c>
      <c r="AN24" s="60">
        <f t="shared" si="52"/>
        <v>25784512.456999999</v>
      </c>
      <c r="AO24" s="60">
        <f t="shared" si="52"/>
        <v>71423217.442499995</v>
      </c>
      <c r="AP24" s="60">
        <f t="shared" si="52"/>
        <v>6944857.1334999986</v>
      </c>
      <c r="AQ24" s="60">
        <f t="shared" si="52"/>
        <v>45758855.950500004</v>
      </c>
      <c r="AR24" s="60">
        <f t="shared" si="52"/>
        <v>5132393.563000001</v>
      </c>
      <c r="AS24" s="60">
        <f t="shared" si="52"/>
        <v>57059207.5625</v>
      </c>
      <c r="AT24" s="60">
        <f t="shared" si="52"/>
        <v>95511056.404499993</v>
      </c>
      <c r="AU24" s="60">
        <f t="shared" si="52"/>
        <v>5656095.15625</v>
      </c>
      <c r="AV24" s="60">
        <f t="shared" si="52"/>
        <v>9322013.9375</v>
      </c>
      <c r="AW24" s="60">
        <f t="shared" si="52"/>
        <v>50094566.436749995</v>
      </c>
      <c r="AX24" s="60">
        <f t="shared" si="52"/>
        <v>47095931.987500004</v>
      </c>
      <c r="AY24" s="60">
        <f t="shared" si="52"/>
        <v>18798660.077999998</v>
      </c>
      <c r="AZ24" s="60">
        <f t="shared" si="52"/>
        <v>38960217.620499991</v>
      </c>
      <c r="BA24" s="60">
        <f t="shared" si="52"/>
        <v>3343922.3564999998</v>
      </c>
    </row>
    <row r="25" spans="1:53" x14ac:dyDescent="0.2">
      <c r="A25">
        <v>22</v>
      </c>
      <c r="B25" s="92" t="s">
        <v>912</v>
      </c>
      <c r="C25" s="60"/>
      <c r="D25" s="60">
        <f t="shared" ref="D25:BA25" si="53">D19*$C22</f>
        <v>17703318.389359787</v>
      </c>
      <c r="E25" s="60">
        <f t="shared" si="53"/>
        <v>5528474.0091400165</v>
      </c>
      <c r="F25" s="60">
        <f t="shared" si="53"/>
        <v>15652921.244399952</v>
      </c>
      <c r="G25" s="60">
        <f t="shared" si="53"/>
        <v>13279207.836759981</v>
      </c>
      <c r="H25" s="60">
        <f t="shared" si="53"/>
        <v>19566167.23068038</v>
      </c>
      <c r="I25" s="60">
        <f t="shared" si="53"/>
        <v>6737589.468559823</v>
      </c>
      <c r="J25" s="60">
        <f t="shared" si="53"/>
        <v>8707677.4413199853</v>
      </c>
      <c r="K25" s="60">
        <f t="shared" si="53"/>
        <v>4417944.9817999946</v>
      </c>
      <c r="L25" s="60">
        <f t="shared" si="53"/>
        <v>44382077.644800395</v>
      </c>
      <c r="M25" s="60">
        <f t="shared" si="53"/>
        <v>22373957.722879749</v>
      </c>
      <c r="N25" s="60">
        <f t="shared" si="53"/>
        <v>2268794.2028399617</v>
      </c>
      <c r="O25" s="60">
        <f t="shared" si="53"/>
        <v>10413335.57760011</v>
      </c>
      <c r="P25" s="60">
        <f t="shared" si="53"/>
        <v>-603201.82664009253</v>
      </c>
      <c r="Q25" s="60">
        <f t="shared" si="53"/>
        <v>5931754.590060249</v>
      </c>
      <c r="R25" s="60">
        <f t="shared" si="53"/>
        <v>3666947.1079999395</v>
      </c>
      <c r="S25" s="60">
        <f t="shared" si="53"/>
        <v>3461492.5237399591</v>
      </c>
      <c r="T25" s="60">
        <f t="shared" si="53"/>
        <v>8555366.9423204735</v>
      </c>
      <c r="U25" s="60">
        <f t="shared" si="53"/>
        <v>14865118.047960078</v>
      </c>
      <c r="V25" s="60">
        <f t="shared" si="53"/>
        <v>9202004.6927400809</v>
      </c>
      <c r="W25" s="60">
        <f t="shared" si="53"/>
        <v>10311358.081579845</v>
      </c>
      <c r="X25" s="60">
        <f t="shared" si="53"/>
        <v>14370832.59701984</v>
      </c>
      <c r="Y25" s="60">
        <f t="shared" si="53"/>
        <v>-8246665.1724598352</v>
      </c>
      <c r="Z25" s="60">
        <f t="shared" si="53"/>
        <v>7710877.0699397521</v>
      </c>
      <c r="AA25" s="60">
        <f t="shared" si="53"/>
        <v>10644372.055620132</v>
      </c>
      <c r="AB25" s="60">
        <f t="shared" si="53"/>
        <v>11926429.352639971</v>
      </c>
      <c r="AC25" s="60">
        <f t="shared" si="53"/>
        <v>12103198.357500002</v>
      </c>
      <c r="AD25" s="60">
        <f t="shared" si="53"/>
        <v>3259862.6833999213</v>
      </c>
      <c r="AE25" s="60">
        <f t="shared" si="53"/>
        <v>5408454.3809400871</v>
      </c>
      <c r="AF25" s="60">
        <f t="shared" si="53"/>
        <v>6928116.0564000132</v>
      </c>
      <c r="AG25" s="60">
        <f t="shared" si="53"/>
        <v>4734301.4645600049</v>
      </c>
      <c r="AH25" s="60">
        <f t="shared" si="53"/>
        <v>7895744.9178000251</v>
      </c>
      <c r="AI25" s="60">
        <f t="shared" si="53"/>
        <v>12235972.357159203</v>
      </c>
      <c r="AJ25" s="60">
        <f t="shared" si="53"/>
        <v>74699260.405701071</v>
      </c>
      <c r="AK25" s="60">
        <f t="shared" si="53"/>
        <v>3512018.8539400259</v>
      </c>
      <c r="AL25" s="60">
        <f t="shared" si="53"/>
        <v>6083145.4785004873</v>
      </c>
      <c r="AM25" s="60">
        <f t="shared" si="53"/>
        <v>11617706.682540167</v>
      </c>
      <c r="AN25" s="60">
        <f t="shared" si="53"/>
        <v>13291643.479560006</v>
      </c>
      <c r="AO25" s="60">
        <f t="shared" si="53"/>
        <v>15462807.436299903</v>
      </c>
      <c r="AP25" s="60">
        <f t="shared" si="53"/>
        <v>2021878.7674799175</v>
      </c>
      <c r="AQ25" s="60">
        <f t="shared" si="53"/>
        <v>41112235.096800148</v>
      </c>
      <c r="AR25" s="60">
        <f t="shared" si="53"/>
        <v>4317174.4746400323</v>
      </c>
      <c r="AS25" s="60">
        <f t="shared" si="53"/>
        <v>34270708.734720059</v>
      </c>
      <c r="AT25" s="60">
        <f t="shared" si="53"/>
        <v>115196302.1631597</v>
      </c>
      <c r="AU25" s="60">
        <f t="shared" si="53"/>
        <v>7640835.1406399868</v>
      </c>
      <c r="AV25" s="60">
        <f t="shared" si="53"/>
        <v>4848071.920999879</v>
      </c>
      <c r="AW25" s="60">
        <f t="shared" si="53"/>
        <v>33805856.046759985</v>
      </c>
      <c r="AX25" s="60">
        <f t="shared" si="53"/>
        <v>30793420.854600172</v>
      </c>
      <c r="AY25" s="60">
        <f t="shared" si="53"/>
        <v>-835675.19615993195</v>
      </c>
      <c r="AZ25" s="60">
        <f t="shared" si="53"/>
        <v>13794717.481419792</v>
      </c>
      <c r="BA25" s="60">
        <f t="shared" si="53"/>
        <v>4115194.5552799799</v>
      </c>
    </row>
    <row r="26" spans="1:53" x14ac:dyDescent="0.2">
      <c r="A26">
        <v>23</v>
      </c>
      <c r="B26" s="92" t="s">
        <v>894</v>
      </c>
      <c r="C26" s="60"/>
      <c r="D26" s="60">
        <f t="shared" ref="D26:BA26" si="54">D20*$C23</f>
        <v>565487629.38340008</v>
      </c>
      <c r="E26" s="60">
        <f t="shared" si="54"/>
        <v>92179589.215279996</v>
      </c>
      <c r="F26" s="60">
        <f t="shared" si="54"/>
        <v>1107262010.8463998</v>
      </c>
      <c r="G26" s="60">
        <f t="shared" si="54"/>
        <v>378485442.11908001</v>
      </c>
      <c r="H26" s="60">
        <f t="shared" si="54"/>
        <v>5845638395.3049612</v>
      </c>
      <c r="I26" s="60">
        <f t="shared" si="54"/>
        <v>919212394.87132001</v>
      </c>
      <c r="J26" s="60">
        <f t="shared" si="54"/>
        <v>502954059.83328003</v>
      </c>
      <c r="K26" s="60">
        <f t="shared" si="54"/>
        <v>143013821.68728003</v>
      </c>
      <c r="L26" s="60">
        <f t="shared" si="54"/>
        <v>3167707669.5290399</v>
      </c>
      <c r="M26" s="60">
        <f t="shared" si="54"/>
        <v>1211540289.4634399</v>
      </c>
      <c r="N26" s="60">
        <f t="shared" si="54"/>
        <v>199176588.29744002</v>
      </c>
      <c r="O26" s="60">
        <f t="shared" si="54"/>
        <v>205222949.83680001</v>
      </c>
      <c r="P26" s="60">
        <f t="shared" si="54"/>
        <v>2170724134.4858398</v>
      </c>
      <c r="Q26" s="60">
        <f t="shared" si="54"/>
        <v>904240533.8850801</v>
      </c>
      <c r="R26" s="60">
        <f t="shared" si="54"/>
        <v>484441314.50240004</v>
      </c>
      <c r="S26" s="60">
        <f t="shared" si="54"/>
        <v>477877967.36288005</v>
      </c>
      <c r="T26" s="60">
        <f t="shared" si="54"/>
        <v>518301863.83631998</v>
      </c>
      <c r="U26" s="60">
        <f t="shared" si="54"/>
        <v>683138816.75952005</v>
      </c>
      <c r="V26" s="60">
        <f t="shared" si="54"/>
        <v>156644556.14800003</v>
      </c>
      <c r="W26" s="60">
        <f t="shared" si="54"/>
        <v>922199635.53424013</v>
      </c>
      <c r="X26" s="60">
        <f t="shared" si="54"/>
        <v>977145354.97776008</v>
      </c>
      <c r="Y26" s="60">
        <f t="shared" si="54"/>
        <v>1523515438.4553599</v>
      </c>
      <c r="Z26" s="60">
        <f t="shared" si="54"/>
        <v>821577636.454</v>
      </c>
      <c r="AA26" s="60">
        <f t="shared" si="54"/>
        <v>352872270.7392</v>
      </c>
      <c r="AB26" s="60">
        <f t="shared" si="54"/>
        <v>953079910.46272004</v>
      </c>
      <c r="AC26" s="60">
        <f t="shared" si="54"/>
        <v>140721023.3682</v>
      </c>
      <c r="AD26" s="60">
        <f t="shared" si="54"/>
        <v>308185328.04424</v>
      </c>
      <c r="AE26" s="60">
        <f t="shared" si="54"/>
        <v>494814463.68563998</v>
      </c>
      <c r="AF26" s="60">
        <f t="shared" si="54"/>
        <v>145677653.69216001</v>
      </c>
      <c r="AG26" s="60">
        <f t="shared" si="54"/>
        <v>1489027850.8224001</v>
      </c>
      <c r="AH26" s="60">
        <f t="shared" si="54"/>
        <v>214180597.43744001</v>
      </c>
      <c r="AI26" s="60">
        <f t="shared" si="54"/>
        <v>3393647072.8036799</v>
      </c>
      <c r="AJ26" s="60">
        <f t="shared" si="54"/>
        <v>1033100162.80224</v>
      </c>
      <c r="AK26" s="60">
        <f t="shared" si="54"/>
        <v>112753535.59136</v>
      </c>
      <c r="AL26" s="60">
        <f t="shared" si="54"/>
        <v>1894130557.3094401</v>
      </c>
      <c r="AM26" s="60">
        <f t="shared" si="54"/>
        <v>582093668.05711997</v>
      </c>
      <c r="AN26" s="60">
        <f t="shared" si="54"/>
        <v>560577035.98399997</v>
      </c>
      <c r="AO26" s="60">
        <f t="shared" si="54"/>
        <v>1971097462.52616</v>
      </c>
      <c r="AP26" s="60">
        <f t="shared" si="54"/>
        <v>156671310.93212</v>
      </c>
      <c r="AQ26" s="60">
        <f t="shared" si="54"/>
        <v>594871382.8391999</v>
      </c>
      <c r="AR26" s="60">
        <f t="shared" si="54"/>
        <v>123908391.01188</v>
      </c>
      <c r="AS26" s="60">
        <f t="shared" si="54"/>
        <v>805770220.64499998</v>
      </c>
      <c r="AT26" s="60">
        <f t="shared" si="54"/>
        <v>3899213919.9619203</v>
      </c>
      <c r="AU26" s="60">
        <f t="shared" si="54"/>
        <v>417434590.30000001</v>
      </c>
      <c r="AV26" s="60">
        <f t="shared" si="54"/>
        <v>65551396.414999999</v>
      </c>
      <c r="AW26" s="60">
        <f t="shared" si="54"/>
        <v>1122749638.77756</v>
      </c>
      <c r="AX26" s="60">
        <f t="shared" si="54"/>
        <v>944252981.34820008</v>
      </c>
      <c r="AY26" s="60">
        <f t="shared" si="54"/>
        <v>229769960.49584004</v>
      </c>
      <c r="AZ26" s="60">
        <f t="shared" si="54"/>
        <v>876958289.81599998</v>
      </c>
      <c r="BA26" s="60">
        <f t="shared" si="54"/>
        <v>93689087.012639999</v>
      </c>
    </row>
    <row r="27" spans="1:53" x14ac:dyDescent="0.2">
      <c r="A27">
        <v>24</v>
      </c>
      <c r="B27" s="209" t="s">
        <v>914</v>
      </c>
      <c r="C27" s="300">
        <v>164</v>
      </c>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row>
    <row r="28" spans="1:53" x14ac:dyDescent="0.2">
      <c r="A28">
        <v>25</v>
      </c>
      <c r="B28" s="92" t="s">
        <v>89</v>
      </c>
      <c r="C28" s="60">
        <f>'GPI Summary'!C32</f>
        <v>310968796</v>
      </c>
      <c r="D28" s="60">
        <f>'GPI Summary'!D32</f>
        <v>4803689</v>
      </c>
      <c r="E28" s="60">
        <f>'GPI Summary'!E32</f>
        <v>723860</v>
      </c>
      <c r="F28" s="60">
        <f>'GPI Summary'!F32</f>
        <v>6467315</v>
      </c>
      <c r="G28" s="60">
        <f>'GPI Summary'!G32</f>
        <v>2938582</v>
      </c>
      <c r="H28" s="60">
        <f>'GPI Summary'!H32</f>
        <v>37683933</v>
      </c>
      <c r="I28" s="60">
        <f>'GPI Summary'!I32</f>
        <v>5116302</v>
      </c>
      <c r="J28" s="60">
        <f>'GPI Summary'!J32</f>
        <v>3586717</v>
      </c>
      <c r="K28" s="60">
        <f>'GPI Summary'!K32</f>
        <v>908137</v>
      </c>
      <c r="L28" s="60">
        <f>'GPI Summary'!L32</f>
        <v>19082262</v>
      </c>
      <c r="M28" s="60">
        <f>'GPI Summary'!M32</f>
        <v>9812460</v>
      </c>
      <c r="N28" s="60">
        <f>'GPI Summary'!N32</f>
        <v>1378129</v>
      </c>
      <c r="O28" s="60">
        <f>'GPI Summary'!O32</f>
        <v>1583744</v>
      </c>
      <c r="P28" s="60">
        <f>'GPI Summary'!P32</f>
        <v>12859752</v>
      </c>
      <c r="Q28" s="60">
        <f>'GPI Summary'!Q32</f>
        <v>6516353</v>
      </c>
      <c r="R28" s="60">
        <f>'GPI Summary'!R32</f>
        <v>3064097</v>
      </c>
      <c r="S28" s="60">
        <f>'GPI Summary'!S32</f>
        <v>2870386</v>
      </c>
      <c r="T28" s="60">
        <f>'GPI Summary'!T32</f>
        <v>4366814</v>
      </c>
      <c r="U28" s="60">
        <f>'GPI Summary'!U32</f>
        <v>4574766</v>
      </c>
      <c r="V28" s="60">
        <f>'GPI Summary'!V32</f>
        <v>1328544</v>
      </c>
      <c r="W28" s="60">
        <f>'GPI Summary'!W32</f>
        <v>5839572</v>
      </c>
      <c r="X28" s="60">
        <f>'GPI Summary'!X32</f>
        <v>6607003</v>
      </c>
      <c r="Y28" s="60">
        <f>'GPI Summary'!Y32</f>
        <v>9876801</v>
      </c>
      <c r="Z28" s="60">
        <f>'GPI Summary'!Z32</f>
        <v>5347299</v>
      </c>
      <c r="AA28" s="60">
        <f>'GPI Summary'!AA32</f>
        <v>2977457</v>
      </c>
      <c r="AB28" s="60">
        <f>'GPI Summary'!AB32</f>
        <v>6008984</v>
      </c>
      <c r="AC28" s="60">
        <f>'GPI Summary'!AC32</f>
        <v>997667</v>
      </c>
      <c r="AD28" s="60">
        <f>'GPI Summary'!AD32</f>
        <v>1842234</v>
      </c>
      <c r="AE28" s="60">
        <f>'GPI Summary'!AE32</f>
        <v>2720028</v>
      </c>
      <c r="AF28" s="60">
        <f>'GPI Summary'!AF32</f>
        <v>1317807</v>
      </c>
      <c r="AG28" s="60">
        <f>'GPI Summary'!AG32</f>
        <v>8834773</v>
      </c>
      <c r="AH28" s="60">
        <f>'GPI Summary'!AH32</f>
        <v>2078674</v>
      </c>
      <c r="AI28" s="60">
        <f>'GPI Summary'!AI32</f>
        <v>19501616</v>
      </c>
      <c r="AJ28" s="60">
        <f>'GPI Summary'!AJ32</f>
        <v>9651103</v>
      </c>
      <c r="AK28" s="60">
        <f>'GPI Summary'!AK32</f>
        <v>684740</v>
      </c>
      <c r="AL28" s="60">
        <f>'GPI Summary'!AL32</f>
        <v>11541007</v>
      </c>
      <c r="AM28" s="60">
        <f>'GPI Summary'!AM32</f>
        <v>3784163</v>
      </c>
      <c r="AN28" s="60">
        <f>'GPI Summary'!AN32</f>
        <v>3868229</v>
      </c>
      <c r="AO28" s="60">
        <f>'GPI Summary'!AO32</f>
        <v>12743948</v>
      </c>
      <c r="AP28" s="60">
        <f>'GPI Summary'!AP32</f>
        <v>1050646</v>
      </c>
      <c r="AQ28" s="60">
        <f>'GPI Summary'!AQ32</f>
        <v>4673348</v>
      </c>
      <c r="AR28" s="60">
        <f>'GPI Summary'!AR32</f>
        <v>823593</v>
      </c>
      <c r="AS28" s="60">
        <f>'GPI Summary'!AS32</f>
        <v>6399787</v>
      </c>
      <c r="AT28" s="60">
        <f>'GPI Summary'!AT32</f>
        <v>25631778</v>
      </c>
      <c r="AU28" s="60">
        <f>'GPI Summary'!AU32</f>
        <v>2814347</v>
      </c>
      <c r="AV28" s="60">
        <f>'GPI Summary'!AV32</f>
        <v>626592</v>
      </c>
      <c r="AW28" s="60">
        <f>'GPI Summary'!AW32</f>
        <v>8104384</v>
      </c>
      <c r="AX28" s="60">
        <f>'GPI Summary'!AX32</f>
        <v>6823267</v>
      </c>
      <c r="AY28" s="60">
        <f>'GPI Summary'!AY32</f>
        <v>1854908</v>
      </c>
      <c r="AZ28" s="60">
        <f>'GPI Summary'!AZ32</f>
        <v>5709843</v>
      </c>
      <c r="BA28" s="60">
        <f>'GPI Summary'!BA32</f>
        <v>567356</v>
      </c>
    </row>
    <row r="29" spans="1:53" x14ac:dyDescent="0.2">
      <c r="A29">
        <v>26</v>
      </c>
      <c r="B29" s="92" t="s">
        <v>895</v>
      </c>
      <c r="C29" s="51">
        <f>(C27/C28)*1000000</f>
        <v>0.5273841044810168</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row>
    <row r="30" spans="1:53" x14ac:dyDescent="0.2">
      <c r="A30">
        <v>27</v>
      </c>
      <c r="B30" s="92" t="s">
        <v>896</v>
      </c>
      <c r="C30" s="60">
        <f>$C29*C28</f>
        <v>164000000</v>
      </c>
      <c r="D30" s="60">
        <f>$C29*D28</f>
        <v>2533389.2214703113</v>
      </c>
      <c r="E30" s="60">
        <f t="shared" ref="E30:BA30" si="55">$C29*E28</f>
        <v>381752.25786962884</v>
      </c>
      <c r="F30" s="60">
        <f t="shared" si="55"/>
        <v>3410759.1296716472</v>
      </c>
      <c r="G30" s="60">
        <f t="shared" si="55"/>
        <v>1549761.4365140353</v>
      </c>
      <c r="H30" s="60">
        <f t="shared" si="55"/>
        <v>19873907.258527637</v>
      </c>
      <c r="I30" s="60">
        <f t="shared" si="55"/>
        <v>2698256.3485244354</v>
      </c>
      <c r="J30" s="60">
        <f t="shared" si="55"/>
        <v>1891577.5330718393</v>
      </c>
      <c r="K30" s="60">
        <f t="shared" si="55"/>
        <v>478937.01849107718</v>
      </c>
      <c r="L30" s="60">
        <f t="shared" si="55"/>
        <v>10063681.656342136</v>
      </c>
      <c r="M30" s="60">
        <f t="shared" si="55"/>
        <v>5174935.4298557984</v>
      </c>
      <c r="N30" s="60">
        <f t="shared" si="55"/>
        <v>726803.32852431922</v>
      </c>
      <c r="O30" s="60">
        <f t="shared" si="55"/>
        <v>835241.41116718343</v>
      </c>
      <c r="P30" s="60">
        <f t="shared" si="55"/>
        <v>6782028.792367965</v>
      </c>
      <c r="Q30" s="60">
        <f t="shared" si="55"/>
        <v>3436620.9913871875</v>
      </c>
      <c r="R30" s="60">
        <f t="shared" si="55"/>
        <v>1615956.05238797</v>
      </c>
      <c r="S30" s="60">
        <f t="shared" si="55"/>
        <v>1513795.9501248479</v>
      </c>
      <c r="T30" s="60">
        <f t="shared" si="55"/>
        <v>2302988.2908251667</v>
      </c>
      <c r="U30" s="60">
        <f t="shared" si="55"/>
        <v>2412658.8701202031</v>
      </c>
      <c r="V30" s="60">
        <f t="shared" si="55"/>
        <v>700652.98770362802</v>
      </c>
      <c r="W30" s="60">
        <f t="shared" si="55"/>
        <v>3079697.4497724203</v>
      </c>
      <c r="X30" s="60">
        <f t="shared" si="55"/>
        <v>3484428.3604583913</v>
      </c>
      <c r="Y30" s="60">
        <f t="shared" si="55"/>
        <v>5208867.8505222108</v>
      </c>
      <c r="Z30" s="60">
        <f t="shared" si="55"/>
        <v>2820080.4945072369</v>
      </c>
      <c r="AA30" s="60">
        <f t="shared" si="55"/>
        <v>1570263.4935757348</v>
      </c>
      <c r="AB30" s="60">
        <f t="shared" si="55"/>
        <v>3169042.6456807582</v>
      </c>
      <c r="AC30" s="60">
        <f t="shared" si="55"/>
        <v>526153.71736526256</v>
      </c>
      <c r="AD30" s="60">
        <f t="shared" si="55"/>
        <v>971564.92833448155</v>
      </c>
      <c r="AE30" s="60">
        <f t="shared" si="55"/>
        <v>1434499.5309432913</v>
      </c>
      <c r="AF30" s="60">
        <f t="shared" si="55"/>
        <v>694990.46457381535</v>
      </c>
      <c r="AG30" s="60">
        <f t="shared" si="55"/>
        <v>4659318.8468980659</v>
      </c>
      <c r="AH30" s="60">
        <f t="shared" si="55"/>
        <v>1096259.6259979731</v>
      </c>
      <c r="AI30" s="60">
        <f t="shared" si="55"/>
        <v>10284842.290092669</v>
      </c>
      <c r="AJ30" s="60">
        <f t="shared" si="55"/>
        <v>5089838.3129090546</v>
      </c>
      <c r="AK30" s="60">
        <f t="shared" si="55"/>
        <v>361120.99170233146</v>
      </c>
      <c r="AL30" s="60">
        <f t="shared" si="55"/>
        <v>6086543.6415041462</v>
      </c>
      <c r="AM30" s="60">
        <f t="shared" si="55"/>
        <v>1995707.4149651979</v>
      </c>
      <c r="AN30" s="60">
        <f t="shared" si="55"/>
        <v>2040042.4870924992</v>
      </c>
      <c r="AO30" s="60">
        <f t="shared" si="55"/>
        <v>6720955.6035326449</v>
      </c>
      <c r="AP30" s="60">
        <f t="shared" si="55"/>
        <v>554093.99983656243</v>
      </c>
      <c r="AQ30" s="60">
        <f t="shared" si="55"/>
        <v>2464649.4499081508</v>
      </c>
      <c r="AR30" s="60">
        <f t="shared" si="55"/>
        <v>434349.85676183406</v>
      </c>
      <c r="AS30" s="60">
        <f t="shared" si="55"/>
        <v>3375145.935864253</v>
      </c>
      <c r="AT30" s="60">
        <f t="shared" si="55"/>
        <v>13517792.286786228</v>
      </c>
      <c r="AU30" s="60">
        <f t="shared" si="55"/>
        <v>1484241.8722938362</v>
      </c>
      <c r="AV30" s="60">
        <f t="shared" si="55"/>
        <v>330454.6607949693</v>
      </c>
      <c r="AW30" s="60">
        <f t="shared" si="55"/>
        <v>4274123.2982102809</v>
      </c>
      <c r="AX30" s="60">
        <f t="shared" si="55"/>
        <v>3598482.5564298742</v>
      </c>
      <c r="AY30" s="60">
        <f t="shared" si="55"/>
        <v>978248.99447467388</v>
      </c>
      <c r="AZ30" s="60">
        <f t="shared" si="55"/>
        <v>3011280.4372822023</v>
      </c>
      <c r="BA30" s="60">
        <f t="shared" si="55"/>
        <v>299214.53598193178</v>
      </c>
    </row>
    <row r="31" spans="1:53" x14ac:dyDescent="0.2">
      <c r="A31">
        <v>28</v>
      </c>
      <c r="B31" s="339" t="s">
        <v>897</v>
      </c>
      <c r="C31" s="338">
        <v>125.21</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row>
    <row r="32" spans="1:53" x14ac:dyDescent="0.2">
      <c r="B32" s="92"/>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row>
    <row r="33" spans="1:2" x14ac:dyDescent="0.2">
      <c r="B33" s="92"/>
    </row>
    <row r="34" spans="1:2" x14ac:dyDescent="0.2">
      <c r="A34">
        <v>1</v>
      </c>
      <c r="B34" s="92" t="s">
        <v>923</v>
      </c>
    </row>
    <row r="35" spans="1:2" x14ac:dyDescent="0.2">
      <c r="A35">
        <v>2</v>
      </c>
      <c r="B35" s="92" t="s">
        <v>924</v>
      </c>
    </row>
    <row r="36" spans="1:2" x14ac:dyDescent="0.2">
      <c r="A36">
        <v>3</v>
      </c>
      <c r="B36" s="92" t="s">
        <v>901</v>
      </c>
    </row>
    <row r="37" spans="1:2" x14ac:dyDescent="0.2">
      <c r="A37">
        <v>4</v>
      </c>
      <c r="B37" s="92" t="s">
        <v>902</v>
      </c>
    </row>
    <row r="38" spans="1:2" x14ac:dyDescent="0.2">
      <c r="A38">
        <v>5</v>
      </c>
      <c r="B38" s="93" t="s">
        <v>569</v>
      </c>
    </row>
    <row r="39" spans="1:2" x14ac:dyDescent="0.2">
      <c r="A39">
        <v>6</v>
      </c>
      <c r="B39" s="93" t="s">
        <v>569</v>
      </c>
    </row>
    <row r="40" spans="1:2" x14ac:dyDescent="0.2">
      <c r="A40">
        <v>7</v>
      </c>
      <c r="B40" s="101" t="s">
        <v>925</v>
      </c>
    </row>
    <row r="41" spans="1:2" x14ac:dyDescent="0.2">
      <c r="A41">
        <v>8</v>
      </c>
      <c r="B41" s="92" t="s">
        <v>888</v>
      </c>
    </row>
    <row r="42" spans="1:2" x14ac:dyDescent="0.2">
      <c r="A42">
        <v>9</v>
      </c>
      <c r="B42" s="93" t="s">
        <v>878</v>
      </c>
    </row>
    <row r="43" spans="1:2" x14ac:dyDescent="0.2">
      <c r="A43">
        <v>10</v>
      </c>
      <c r="B43" s="93" t="s">
        <v>878</v>
      </c>
    </row>
    <row r="44" spans="1:2" x14ac:dyDescent="0.2">
      <c r="A44">
        <v>11</v>
      </c>
      <c r="B44" s="93" t="s">
        <v>878</v>
      </c>
    </row>
    <row r="45" spans="1:2" x14ac:dyDescent="0.2">
      <c r="A45">
        <v>12</v>
      </c>
      <c r="B45" s="198" t="s">
        <v>623</v>
      </c>
    </row>
    <row r="46" spans="1:2" x14ac:dyDescent="0.2">
      <c r="A46">
        <v>13</v>
      </c>
      <c r="B46" s="198" t="s">
        <v>623</v>
      </c>
    </row>
    <row r="47" spans="1:2" x14ac:dyDescent="0.2">
      <c r="A47">
        <v>14</v>
      </c>
      <c r="B47" s="93" t="s">
        <v>927</v>
      </c>
    </row>
    <row r="48" spans="1:2" x14ac:dyDescent="0.2">
      <c r="A48">
        <v>15</v>
      </c>
      <c r="B48" s="93" t="s">
        <v>927</v>
      </c>
    </row>
    <row r="49" spans="1:2" x14ac:dyDescent="0.2">
      <c r="A49">
        <v>16</v>
      </c>
      <c r="B49" s="93" t="s">
        <v>929</v>
      </c>
    </row>
    <row r="50" spans="1:2" x14ac:dyDescent="0.2">
      <c r="A50">
        <v>17</v>
      </c>
      <c r="B50" s="93" t="s">
        <v>928</v>
      </c>
    </row>
    <row r="51" spans="1:2" x14ac:dyDescent="0.2">
      <c r="A51">
        <v>18</v>
      </c>
      <c r="B51" s="93" t="s">
        <v>930</v>
      </c>
    </row>
    <row r="52" spans="1:2" x14ac:dyDescent="0.2">
      <c r="A52">
        <v>19</v>
      </c>
      <c r="B52" s="93" t="s">
        <v>900</v>
      </c>
    </row>
    <row r="53" spans="1:2" x14ac:dyDescent="0.2">
      <c r="A53">
        <v>20</v>
      </c>
      <c r="B53" s="199" t="s">
        <v>911</v>
      </c>
    </row>
    <row r="54" spans="1:2" x14ac:dyDescent="0.2">
      <c r="A54">
        <v>21</v>
      </c>
      <c r="B54" s="93" t="s">
        <v>904</v>
      </c>
    </row>
    <row r="55" spans="1:2" x14ac:dyDescent="0.2">
      <c r="A55">
        <v>22</v>
      </c>
      <c r="B55" s="93" t="s">
        <v>903</v>
      </c>
    </row>
    <row r="56" spans="1:2" x14ac:dyDescent="0.2">
      <c r="A56">
        <v>23</v>
      </c>
      <c r="B56" s="93" t="s">
        <v>905</v>
      </c>
    </row>
    <row r="57" spans="1:2" x14ac:dyDescent="0.2">
      <c r="A57">
        <v>24</v>
      </c>
      <c r="B57" s="94" t="s">
        <v>578</v>
      </c>
    </row>
    <row r="58" spans="1:2" x14ac:dyDescent="0.2">
      <c r="A58">
        <v>25</v>
      </c>
      <c r="B58" s="200" t="s">
        <v>906</v>
      </c>
    </row>
    <row r="59" spans="1:2" x14ac:dyDescent="0.2">
      <c r="A59">
        <v>26</v>
      </c>
      <c r="B59" s="200" t="s">
        <v>940</v>
      </c>
    </row>
    <row r="60" spans="1:2" x14ac:dyDescent="0.2">
      <c r="A60">
        <v>27</v>
      </c>
      <c r="B60" s="200" t="s">
        <v>939</v>
      </c>
    </row>
    <row r="61" spans="1:2" x14ac:dyDescent="0.2">
      <c r="A61">
        <v>28</v>
      </c>
      <c r="B61" s="93" t="s">
        <v>887</v>
      </c>
    </row>
    <row r="121" spans="1:15" s="125" customFormat="1" x14ac:dyDescent="0.2"/>
    <row r="122" spans="1:15" s="125" customFormat="1" x14ac:dyDescent="0.2">
      <c r="A122" s="518"/>
      <c r="B122" s="518"/>
      <c r="C122" s="142"/>
      <c r="D122" s="142"/>
      <c r="E122" s="142"/>
      <c r="F122" s="142"/>
      <c r="G122" s="142"/>
      <c r="H122" s="142"/>
      <c r="I122" s="142"/>
      <c r="J122" s="142"/>
      <c r="K122" s="142"/>
      <c r="L122" s="142"/>
      <c r="M122" s="142"/>
      <c r="N122" s="142"/>
      <c r="O122" s="142"/>
    </row>
    <row r="123" spans="1:15" s="125" customFormat="1" ht="378" customHeight="1" x14ac:dyDescent="0.2">
      <c r="A123" s="525"/>
      <c r="B123" s="525"/>
      <c r="C123" s="525"/>
      <c r="D123" s="525"/>
      <c r="E123" s="525"/>
      <c r="F123" s="525"/>
      <c r="G123" s="167"/>
      <c r="H123" s="167"/>
      <c r="I123" s="167"/>
      <c r="J123" s="167"/>
      <c r="K123" s="167"/>
      <c r="L123" s="142"/>
      <c r="M123" s="142"/>
      <c r="N123" s="142"/>
      <c r="O123" s="142"/>
    </row>
    <row r="124" spans="1:15" s="125" customFormat="1" x14ac:dyDescent="0.2"/>
    <row r="125" spans="1:15" s="125" customFormat="1" x14ac:dyDescent="0.2"/>
    <row r="126" spans="1:15" s="125" customFormat="1" x14ac:dyDescent="0.2"/>
    <row r="127" spans="1:15" s="125" customFormat="1" x14ac:dyDescent="0.2"/>
    <row r="128" spans="1:15" s="125" customFormat="1" x14ac:dyDescent="0.2"/>
    <row r="129" s="125" customFormat="1" x14ac:dyDescent="0.2"/>
    <row r="130" s="125" customFormat="1" x14ac:dyDescent="0.2"/>
    <row r="131" s="125" customFormat="1" x14ac:dyDescent="0.2"/>
    <row r="132" s="125" customFormat="1" x14ac:dyDescent="0.2"/>
    <row r="133" s="125" customFormat="1" x14ac:dyDescent="0.2"/>
    <row r="134" s="125" customFormat="1" x14ac:dyDescent="0.2"/>
    <row r="135" s="125" customFormat="1" x14ac:dyDescent="0.2"/>
    <row r="136" s="125" customFormat="1" x14ac:dyDescent="0.2"/>
    <row r="137" s="125" customFormat="1" x14ac:dyDescent="0.2"/>
    <row r="138" s="125" customFormat="1" x14ac:dyDescent="0.2"/>
    <row r="139" s="125" customFormat="1" x14ac:dyDescent="0.2"/>
    <row r="140" s="125" customFormat="1" x14ac:dyDescent="0.2"/>
    <row r="141" s="125" customFormat="1" x14ac:dyDescent="0.2"/>
    <row r="142" s="125" customFormat="1" x14ac:dyDescent="0.2"/>
  </sheetData>
  <mergeCells count="2">
    <mergeCell ref="A122:B122"/>
    <mergeCell ref="A123:F123"/>
  </mergeCells>
  <phoneticPr fontId="103" type="noConversion"/>
  <hyperlinks>
    <hyperlink ref="B57" r:id="rId1"/>
  </hyperlinks>
  <pageMargins left="0.75" right="0.75" top="1" bottom="1" header="0.3" footer="0.3"/>
  <pageSetup orientation="portrait"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9"/>
  <sheetViews>
    <sheetView workbookViewId="0"/>
  </sheetViews>
  <sheetFormatPr baseColWidth="10" defaultColWidth="8.83203125" defaultRowHeight="16" x14ac:dyDescent="0.2"/>
  <cols>
    <col min="2" max="2" width="40.1640625" customWidth="1"/>
    <col min="3" max="3" width="23" customWidth="1"/>
    <col min="4" max="53" width="14.33203125" customWidth="1"/>
  </cols>
  <sheetData>
    <row r="1" spans="1:56" s="125" customFormat="1" x14ac:dyDescent="0.2">
      <c r="A1"/>
      <c r="B1"/>
      <c r="C1" s="173"/>
      <c r="D1" s="78">
        <v>1</v>
      </c>
      <c r="E1" s="78">
        <f>D1+1</f>
        <v>2</v>
      </c>
      <c r="F1" s="78">
        <f t="shared" ref="F1:K1" si="0">E1+1</f>
        <v>3</v>
      </c>
      <c r="G1" s="78">
        <f t="shared" si="0"/>
        <v>4</v>
      </c>
      <c r="H1" s="78">
        <f t="shared" si="0"/>
        <v>5</v>
      </c>
      <c r="I1" s="78">
        <f t="shared" si="0"/>
        <v>6</v>
      </c>
      <c r="J1" s="78">
        <f t="shared" si="0"/>
        <v>7</v>
      </c>
      <c r="K1" s="78">
        <f t="shared" si="0"/>
        <v>8</v>
      </c>
      <c r="L1" s="78">
        <f t="shared" ref="L1" si="1">K1+1</f>
        <v>9</v>
      </c>
      <c r="M1" s="78">
        <f t="shared" ref="M1" si="2">L1+1</f>
        <v>10</v>
      </c>
      <c r="N1" s="78">
        <f t="shared" ref="N1" si="3">M1+1</f>
        <v>11</v>
      </c>
      <c r="O1" s="78">
        <f t="shared" ref="O1" si="4">N1+1</f>
        <v>12</v>
      </c>
      <c r="P1" s="78">
        <f t="shared" ref="P1" si="5">O1+1</f>
        <v>13</v>
      </c>
      <c r="Q1" s="78">
        <f t="shared" ref="Q1" si="6">P1+1</f>
        <v>14</v>
      </c>
      <c r="R1" s="78">
        <f t="shared" ref="R1" si="7">Q1+1</f>
        <v>15</v>
      </c>
      <c r="S1" s="78">
        <f t="shared" ref="S1" si="8">R1+1</f>
        <v>16</v>
      </c>
      <c r="T1" s="78">
        <f t="shared" ref="T1" si="9">S1+1</f>
        <v>17</v>
      </c>
      <c r="U1" s="78">
        <f t="shared" ref="U1" si="10">T1+1</f>
        <v>18</v>
      </c>
      <c r="V1" s="78">
        <f t="shared" ref="V1" si="11">U1+1</f>
        <v>19</v>
      </c>
      <c r="W1" s="78">
        <f t="shared" ref="W1" si="12">V1+1</f>
        <v>20</v>
      </c>
      <c r="X1" s="78">
        <f t="shared" ref="X1" si="13">W1+1</f>
        <v>21</v>
      </c>
      <c r="Y1" s="78">
        <f t="shared" ref="Y1" si="14">X1+1</f>
        <v>22</v>
      </c>
      <c r="Z1" s="78">
        <f t="shared" ref="Z1" si="15">Y1+1</f>
        <v>23</v>
      </c>
      <c r="AA1" s="78">
        <f t="shared" ref="AA1" si="16">Z1+1</f>
        <v>24</v>
      </c>
      <c r="AB1" s="78">
        <f t="shared" ref="AB1" si="17">AA1+1</f>
        <v>25</v>
      </c>
      <c r="AC1" s="78">
        <f t="shared" ref="AC1" si="18">AB1+1</f>
        <v>26</v>
      </c>
      <c r="AD1" s="78">
        <f t="shared" ref="AD1" si="19">AC1+1</f>
        <v>27</v>
      </c>
      <c r="AE1" s="78">
        <f t="shared" ref="AE1" si="20">AD1+1</f>
        <v>28</v>
      </c>
      <c r="AF1" s="78">
        <f t="shared" ref="AF1" si="21">AE1+1</f>
        <v>29</v>
      </c>
      <c r="AG1" s="78">
        <f t="shared" ref="AG1" si="22">AF1+1</f>
        <v>30</v>
      </c>
      <c r="AH1" s="78">
        <f t="shared" ref="AH1" si="23">AG1+1</f>
        <v>31</v>
      </c>
      <c r="AI1" s="78">
        <f t="shared" ref="AI1" si="24">AH1+1</f>
        <v>32</v>
      </c>
      <c r="AJ1" s="78">
        <f t="shared" ref="AJ1" si="25">AI1+1</f>
        <v>33</v>
      </c>
      <c r="AK1" s="78">
        <f t="shared" ref="AK1" si="26">AJ1+1</f>
        <v>34</v>
      </c>
      <c r="AL1" s="78">
        <f t="shared" ref="AL1" si="27">AK1+1</f>
        <v>35</v>
      </c>
      <c r="AM1" s="78">
        <f t="shared" ref="AM1" si="28">AL1+1</f>
        <v>36</v>
      </c>
      <c r="AN1" s="78">
        <f t="shared" ref="AN1" si="29">AM1+1</f>
        <v>37</v>
      </c>
      <c r="AO1" s="78">
        <f t="shared" ref="AO1" si="30">AN1+1</f>
        <v>38</v>
      </c>
      <c r="AP1" s="78">
        <f t="shared" ref="AP1" si="31">AO1+1</f>
        <v>39</v>
      </c>
      <c r="AQ1" s="78">
        <f t="shared" ref="AQ1" si="32">AP1+1</f>
        <v>40</v>
      </c>
      <c r="AR1" s="78">
        <f t="shared" ref="AR1" si="33">AQ1+1</f>
        <v>41</v>
      </c>
      <c r="AS1" s="78">
        <f t="shared" ref="AS1" si="34">AR1+1</f>
        <v>42</v>
      </c>
      <c r="AT1" s="78">
        <f t="shared" ref="AT1" si="35">AS1+1</f>
        <v>43</v>
      </c>
      <c r="AU1" s="78">
        <f t="shared" ref="AU1" si="36">AT1+1</f>
        <v>44</v>
      </c>
      <c r="AV1" s="78">
        <f t="shared" ref="AV1" si="37">AU1+1</f>
        <v>45</v>
      </c>
      <c r="AW1" s="78">
        <f t="shared" ref="AW1" si="38">AV1+1</f>
        <v>46</v>
      </c>
      <c r="AX1" s="78">
        <f t="shared" ref="AX1" si="39">AW1+1</f>
        <v>47</v>
      </c>
      <c r="AY1" s="78">
        <f t="shared" ref="AY1" si="40">AX1+1</f>
        <v>48</v>
      </c>
      <c r="AZ1" s="78">
        <f t="shared" ref="AZ1" si="41">AY1+1</f>
        <v>49</v>
      </c>
      <c r="BA1" s="78">
        <f t="shared" ref="BA1" si="42">AZ1+1</f>
        <v>50</v>
      </c>
      <c r="BB1" s="78"/>
      <c r="BC1" s="170"/>
    </row>
    <row r="2" spans="1:56" s="125" customFormat="1" x14ac:dyDescent="0.2">
      <c r="A2"/>
      <c r="B2"/>
      <c r="C2" s="174" t="s">
        <v>95</v>
      </c>
      <c r="D2" s="79" t="s">
        <v>144</v>
      </c>
      <c r="E2" s="79" t="s">
        <v>145</v>
      </c>
      <c r="F2" s="79" t="s">
        <v>146</v>
      </c>
      <c r="G2" s="79" t="s">
        <v>147</v>
      </c>
      <c r="H2" s="79" t="s">
        <v>148</v>
      </c>
      <c r="I2" s="79" t="s">
        <v>149</v>
      </c>
      <c r="J2" s="79" t="s">
        <v>150</v>
      </c>
      <c r="K2" s="79" t="s">
        <v>151</v>
      </c>
      <c r="L2" s="79" t="s">
        <v>152</v>
      </c>
      <c r="M2" s="79" t="s">
        <v>153</v>
      </c>
      <c r="N2" s="79" t="s">
        <v>154</v>
      </c>
      <c r="O2" s="79" t="s">
        <v>155</v>
      </c>
      <c r="P2" s="79" t="s">
        <v>156</v>
      </c>
      <c r="Q2" s="79" t="s">
        <v>2</v>
      </c>
      <c r="R2" s="79" t="s">
        <v>3</v>
      </c>
      <c r="S2" s="79" t="s">
        <v>4</v>
      </c>
      <c r="T2" s="79" t="s">
        <v>5</v>
      </c>
      <c r="U2" s="79" t="s">
        <v>6</v>
      </c>
      <c r="V2" s="79" t="s">
        <v>7</v>
      </c>
      <c r="W2" s="79" t="s">
        <v>8</v>
      </c>
      <c r="X2" s="79" t="s">
        <v>9</v>
      </c>
      <c r="Y2" s="79" t="s">
        <v>10</v>
      </c>
      <c r="Z2" s="79" t="s">
        <v>11</v>
      </c>
      <c r="AA2" s="79" t="s">
        <v>12</v>
      </c>
      <c r="AB2" s="79" t="s">
        <v>13</v>
      </c>
      <c r="AC2" s="79" t="s">
        <v>14</v>
      </c>
      <c r="AD2" s="79" t="s">
        <v>15</v>
      </c>
      <c r="AE2" s="79" t="s">
        <v>16</v>
      </c>
      <c r="AF2" s="79" t="s">
        <v>17</v>
      </c>
      <c r="AG2" s="79" t="s">
        <v>18</v>
      </c>
      <c r="AH2" s="79" t="s">
        <v>19</v>
      </c>
      <c r="AI2" s="79" t="s">
        <v>20</v>
      </c>
      <c r="AJ2" s="79" t="s">
        <v>21</v>
      </c>
      <c r="AK2" s="79" t="s">
        <v>22</v>
      </c>
      <c r="AL2" s="79" t="s">
        <v>23</v>
      </c>
      <c r="AM2" s="79" t="s">
        <v>24</v>
      </c>
      <c r="AN2" s="79" t="s">
        <v>25</v>
      </c>
      <c r="AO2" s="79" t="s">
        <v>26</v>
      </c>
      <c r="AP2" s="79" t="s">
        <v>27</v>
      </c>
      <c r="AQ2" s="79" t="s">
        <v>28</v>
      </c>
      <c r="AR2" s="79" t="s">
        <v>29</v>
      </c>
      <c r="AS2" s="79" t="s">
        <v>30</v>
      </c>
      <c r="AT2" s="79" t="s">
        <v>31</v>
      </c>
      <c r="AU2" s="79" t="s">
        <v>32</v>
      </c>
      <c r="AV2" s="79" t="s">
        <v>33</v>
      </c>
      <c r="AW2" s="79" t="s">
        <v>34</v>
      </c>
      <c r="AX2" s="79" t="s">
        <v>35</v>
      </c>
      <c r="AY2" s="79" t="s">
        <v>36</v>
      </c>
      <c r="AZ2" s="79" t="s">
        <v>37</v>
      </c>
      <c r="BA2" s="79" t="s">
        <v>38</v>
      </c>
      <c r="BB2" s="78"/>
      <c r="BC2" s="78"/>
    </row>
    <row r="3" spans="1:56" s="125" customFormat="1" x14ac:dyDescent="0.2">
      <c r="A3"/>
      <c r="B3"/>
      <c r="C3" s="174" t="s">
        <v>96</v>
      </c>
      <c r="D3" s="78" t="s">
        <v>39</v>
      </c>
      <c r="E3" s="78" t="s">
        <v>40</v>
      </c>
      <c r="F3" s="78" t="s">
        <v>41</v>
      </c>
      <c r="G3" s="78" t="s">
        <v>42</v>
      </c>
      <c r="H3" s="78" t="s">
        <v>43</v>
      </c>
      <c r="I3" s="78" t="s">
        <v>44</v>
      </c>
      <c r="J3" s="78" t="s">
        <v>45</v>
      </c>
      <c r="K3" s="78" t="s">
        <v>46</v>
      </c>
      <c r="L3" s="78" t="s">
        <v>47</v>
      </c>
      <c r="M3" s="78" t="s">
        <v>48</v>
      </c>
      <c r="N3" s="78" t="s">
        <v>49</v>
      </c>
      <c r="O3" s="78" t="s">
        <v>50</v>
      </c>
      <c r="P3" s="78" t="s">
        <v>51</v>
      </c>
      <c r="Q3" s="78" t="s">
        <v>52</v>
      </c>
      <c r="R3" s="78" t="s">
        <v>53</v>
      </c>
      <c r="S3" s="78" t="s">
        <v>54</v>
      </c>
      <c r="T3" s="78" t="s">
        <v>55</v>
      </c>
      <c r="U3" s="78" t="s">
        <v>56</v>
      </c>
      <c r="V3" s="78" t="s">
        <v>57</v>
      </c>
      <c r="W3" s="78" t="s">
        <v>58</v>
      </c>
      <c r="X3" s="78" t="s">
        <v>59</v>
      </c>
      <c r="Y3" s="78" t="s">
        <v>60</v>
      </c>
      <c r="Z3" s="78" t="s">
        <v>61</v>
      </c>
      <c r="AA3" s="78" t="s">
        <v>62</v>
      </c>
      <c r="AB3" s="78" t="s">
        <v>63</v>
      </c>
      <c r="AC3" s="78" t="s">
        <v>64</v>
      </c>
      <c r="AD3" s="78" t="s">
        <v>65</v>
      </c>
      <c r="AE3" s="78" t="s">
        <v>66</v>
      </c>
      <c r="AF3" s="78" t="s">
        <v>67</v>
      </c>
      <c r="AG3" s="78" t="s">
        <v>68</v>
      </c>
      <c r="AH3" s="78" t="s">
        <v>69</v>
      </c>
      <c r="AI3" s="78" t="s">
        <v>70</v>
      </c>
      <c r="AJ3" s="78" t="s">
        <v>71</v>
      </c>
      <c r="AK3" s="78" t="s">
        <v>72</v>
      </c>
      <c r="AL3" s="78" t="s">
        <v>73</v>
      </c>
      <c r="AM3" s="78" t="s">
        <v>74</v>
      </c>
      <c r="AN3" s="78" t="s">
        <v>75</v>
      </c>
      <c r="AO3" s="78" t="s">
        <v>76</v>
      </c>
      <c r="AP3" s="78" t="s">
        <v>77</v>
      </c>
      <c r="AQ3" s="78" t="s">
        <v>78</v>
      </c>
      <c r="AR3" s="78" t="s">
        <v>79</v>
      </c>
      <c r="AS3" s="78" t="s">
        <v>80</v>
      </c>
      <c r="AT3" s="78" t="s">
        <v>81</v>
      </c>
      <c r="AU3" s="78" t="s">
        <v>82</v>
      </c>
      <c r="AV3" s="78" t="s">
        <v>83</v>
      </c>
      <c r="AW3" s="78" t="s">
        <v>84</v>
      </c>
      <c r="AX3" s="78" t="s">
        <v>85</v>
      </c>
      <c r="AY3" s="78" t="s">
        <v>86</v>
      </c>
      <c r="AZ3" s="78" t="s">
        <v>87</v>
      </c>
      <c r="BA3" s="78" t="s">
        <v>88</v>
      </c>
      <c r="BB3" s="78"/>
      <c r="BC3" s="170"/>
    </row>
    <row r="4" spans="1:56" s="125" customFormat="1" x14ac:dyDescent="0.2">
      <c r="A4">
        <v>1</v>
      </c>
      <c r="B4" s="243" t="s">
        <v>1012</v>
      </c>
      <c r="C4" s="492">
        <f>SUM(D4:BA4)</f>
        <v>176.9572010730144</v>
      </c>
      <c r="D4" s="340">
        <f>D15*D14/1000000000</f>
        <v>2.3872603598567306</v>
      </c>
      <c r="E4" s="340">
        <f t="shared" ref="E4:BA4" si="43">E15*E14/1000000000</f>
        <v>0.45930330955384618</v>
      </c>
      <c r="F4" s="340">
        <f t="shared" si="43"/>
        <v>3.5111301730629805</v>
      </c>
      <c r="G4" s="340">
        <f t="shared" si="43"/>
        <v>1.3385596727509619</v>
      </c>
      <c r="H4" s="340">
        <f t="shared" si="43"/>
        <v>24.526956890782213</v>
      </c>
      <c r="I4" s="340">
        <f t="shared" si="43"/>
        <v>3.0523769663336537</v>
      </c>
      <c r="J4" s="340">
        <f t="shared" si="43"/>
        <v>2.4350271778990389</v>
      </c>
      <c r="K4" s="340">
        <f t="shared" si="43"/>
        <v>0.5508097982048078</v>
      </c>
      <c r="L4" s="340">
        <f t="shared" si="43"/>
        <v>10.118852109194712</v>
      </c>
      <c r="M4" s="340">
        <f t="shared" si="43"/>
        <v>5.1780814521677891</v>
      </c>
      <c r="N4" s="340">
        <f t="shared" si="43"/>
        <v>0.78857891261538482</v>
      </c>
      <c r="O4" s="340">
        <f t="shared" si="43"/>
        <v>0.74072648282884612</v>
      </c>
      <c r="P4" s="340">
        <f t="shared" si="43"/>
        <v>7.5430062762115391</v>
      </c>
      <c r="Q4" s="340">
        <f t="shared" si="43"/>
        <v>3.2415916643365388</v>
      </c>
      <c r="R4" s="340">
        <f t="shared" si="43"/>
        <v>1.5034390150326924</v>
      </c>
      <c r="S4" s="340">
        <f t="shared" si="43"/>
        <v>1.4261687826605771</v>
      </c>
      <c r="T4" s="340">
        <f t="shared" si="43"/>
        <v>2.1356660526923079</v>
      </c>
      <c r="U4" s="340">
        <f t="shared" si="43"/>
        <v>2.2200097688999998</v>
      </c>
      <c r="V4" s="340">
        <f t="shared" si="43"/>
        <v>0.70004082777692322</v>
      </c>
      <c r="W4" s="340">
        <f t="shared" si="43"/>
        <v>3.8556624794509617</v>
      </c>
      <c r="X4" s="340">
        <f t="shared" si="43"/>
        <v>4.6984977646990389</v>
      </c>
      <c r="Y4" s="340">
        <f t="shared" si="43"/>
        <v>5.5004380793653853</v>
      </c>
      <c r="Z4" s="340">
        <f t="shared" si="43"/>
        <v>3.1096334672812507</v>
      </c>
      <c r="AA4" s="340">
        <f t="shared" si="43"/>
        <v>1.2840013171903848</v>
      </c>
      <c r="AB4" s="340">
        <f t="shared" si="43"/>
        <v>3.0815313254567309</v>
      </c>
      <c r="AC4" s="340">
        <f t="shared" si="43"/>
        <v>0.47160956781346147</v>
      </c>
      <c r="AD4" s="340">
        <f t="shared" si="43"/>
        <v>0.89615150049519254</v>
      </c>
      <c r="AE4" s="340">
        <f t="shared" si="43"/>
        <v>1.4275517027625002</v>
      </c>
      <c r="AF4" s="340">
        <f t="shared" si="43"/>
        <v>0.77528708421634618</v>
      </c>
      <c r="AG4" s="340">
        <f t="shared" si="43"/>
        <v>5.7983056631999998</v>
      </c>
      <c r="AH4" s="340">
        <f t="shared" si="43"/>
        <v>1.0546027566403846</v>
      </c>
      <c r="AI4" s="340">
        <f t="shared" si="43"/>
        <v>13.278714934990385</v>
      </c>
      <c r="AJ4" s="340">
        <f t="shared" si="43"/>
        <v>5.0159888307692304</v>
      </c>
      <c r="AK4" s="340">
        <f t="shared" si="43"/>
        <v>0.34098089317500008</v>
      </c>
      <c r="AL4" s="340">
        <f t="shared" si="43"/>
        <v>6.0953748573548081</v>
      </c>
      <c r="AM4" s="340">
        <f t="shared" si="43"/>
        <v>1.8010405101634619</v>
      </c>
      <c r="AN4" s="340">
        <f t="shared" si="43"/>
        <v>2.1942510996158662</v>
      </c>
      <c r="AO4" s="340">
        <f t="shared" si="43"/>
        <v>7.267287810206251</v>
      </c>
      <c r="AP4" s="340">
        <f t="shared" si="43"/>
        <v>0.64966743440913466</v>
      </c>
      <c r="AQ4" s="340">
        <f t="shared" si="43"/>
        <v>2.2855642512461545</v>
      </c>
      <c r="AR4" s="340">
        <f t="shared" si="43"/>
        <v>0.36436277616490387</v>
      </c>
      <c r="AS4" s="340">
        <f t="shared" si="43"/>
        <v>3.17719218639375</v>
      </c>
      <c r="AT4" s="340">
        <f t="shared" si="43"/>
        <v>13.410034974252403</v>
      </c>
      <c r="AU4" s="340">
        <f t="shared" si="43"/>
        <v>1.3276932480000001</v>
      </c>
      <c r="AV4" s="340">
        <f t="shared" si="43"/>
        <v>0.35539601971153845</v>
      </c>
      <c r="AW4" s="340">
        <f t="shared" si="43"/>
        <v>5.043502570837501</v>
      </c>
      <c r="AX4" s="340">
        <f t="shared" si="43"/>
        <v>4.3554103479000004</v>
      </c>
      <c r="AY4" s="340">
        <f t="shared" si="43"/>
        <v>0.87440278614807709</v>
      </c>
      <c r="AZ4" s="340">
        <f t="shared" si="43"/>
        <v>3.0062137984240396</v>
      </c>
      <c r="BA4" s="340">
        <f t="shared" si="43"/>
        <v>0.30326334181875003</v>
      </c>
      <c r="BB4"/>
      <c r="BC4"/>
      <c r="BD4"/>
    </row>
    <row r="5" spans="1:56" s="125" customFormat="1" x14ac:dyDescent="0.2">
      <c r="A5">
        <v>2</v>
      </c>
      <c r="B5" s="247" t="s">
        <v>881</v>
      </c>
      <c r="C5" s="247"/>
      <c r="D5" s="303">
        <f>910478/1000000</f>
        <v>0.91047800000000001</v>
      </c>
      <c r="E5" s="303">
        <f>177945/1000000</f>
        <v>0.17794499999999999</v>
      </c>
      <c r="F5" s="303">
        <f>1171203/1000000</f>
        <v>1.171203</v>
      </c>
      <c r="G5" s="303">
        <f>521828/1000000</f>
        <v>0.52182799999999996</v>
      </c>
      <c r="H5" s="303">
        <f>7370502/1000000</f>
        <v>7.3705020000000001</v>
      </c>
      <c r="I5" s="303">
        <f>1293781
/1000000</f>
        <v>1.2937810000000001</v>
      </c>
      <c r="J5" s="303">
        <f>793711/1000000</f>
        <v>0.79371100000000006</v>
      </c>
      <c r="K5" s="303">
        <f>186756/1000000</f>
        <v>0.18675600000000001</v>
      </c>
      <c r="L5" s="303">
        <f>3412234
/1000000</f>
        <v>3.4122340000000002</v>
      </c>
      <c r="M5" s="303">
        <f>1948336
/1000000</f>
        <v>1.9483360000000001</v>
      </c>
      <c r="N5" s="303">
        <f>209315/1000000</f>
        <v>0.209315</v>
      </c>
      <c r="O5" s="303">
        <f>455923/1000000</f>
        <v>0.45592300000000002</v>
      </c>
      <c r="P5" s="303">
        <f>2726904/1000000</f>
        <v>2.7269040000000002</v>
      </c>
      <c r="Q5" s="303">
        <f>1359070/1000000</f>
        <v>1.35907</v>
      </c>
      <c r="R5" s="303">
        <f>910181
/1000000</f>
        <v>0.91018100000000002</v>
      </c>
      <c r="S5" s="303">
        <f>790172/1000000</f>
        <v>0.79017199999999999</v>
      </c>
      <c r="T5" s="303">
        <f>857252
/1000000</f>
        <v>0.85725200000000001</v>
      </c>
      <c r="U5" s="303">
        <f>670820/1000000</f>
        <v>0.67081999999999997</v>
      </c>
      <c r="V5" s="303">
        <f>349381/1000000</f>
        <v>0.349381</v>
      </c>
      <c r="W5" s="303">
        <f>1241717/1000000</f>
        <v>1.241717</v>
      </c>
      <c r="X5" s="303">
        <f>1375348
/1000000</f>
        <v>1.375348</v>
      </c>
      <c r="Y5" s="303">
        <f>2061167/1000000</f>
        <v>2.0611670000000002</v>
      </c>
      <c r="Z5" s="303">
        <f>1575073/1000000</f>
        <v>1.5750729999999999</v>
      </c>
      <c r="AA5" s="303">
        <f>574851
/1000000</f>
        <v>0.574851</v>
      </c>
      <c r="AB5" s="303">
        <f>1481209
/1000000</f>
        <v>1.481209</v>
      </c>
      <c r="AC5" s="303">
        <f>230311
/1000000</f>
        <v>0.23031099999999999</v>
      </c>
      <c r="AD5" s="303">
        <f>511152
/1000000</f>
        <v>0.51115200000000005</v>
      </c>
      <c r="AE5" s="303">
        <f>450239
/1000000</f>
        <v>0.450239</v>
      </c>
      <c r="AF5" s="303">
        <f>314058
/1000000</f>
        <v>0.314058</v>
      </c>
      <c r="AG5" s="303">
        <f>1551223
/1000000</f>
        <v>1.551223</v>
      </c>
      <c r="AH5" s="303">
        <f>413822
/1000000</f>
        <v>0.41382200000000002</v>
      </c>
      <c r="AI5" s="303">
        <f>3219656
/1000000</f>
        <v>3.2196560000000001</v>
      </c>
      <c r="AJ5" s="303">
        <f>1922985/1000000</f>
        <v>1.9229849999999999</v>
      </c>
      <c r="AK5" s="303">
        <f>158282/1000000</f>
        <v>0.15828200000000001</v>
      </c>
      <c r="AL5" s="303">
        <f>2402023/1000000</f>
        <v>2.4020229999999998</v>
      </c>
      <c r="AM5" s="303">
        <f>831751
/1000000</f>
        <v>0.83175100000000002</v>
      </c>
      <c r="AN5" s="303">
        <f>1098939
/1000000</f>
        <v>1.0989390000000001</v>
      </c>
      <c r="AO5" s="303">
        <f>2671185
/1000000</f>
        <v>2.6711849999999999</v>
      </c>
      <c r="AP5" s="303">
        <f>213126
/1000000</f>
        <v>0.21312600000000001</v>
      </c>
      <c r="AQ5" s="303">
        <f>954911
/1000000</f>
        <v>0.95491099999999995</v>
      </c>
      <c r="AR5" s="303">
        <f>233094
/1000000</f>
        <v>0.233094</v>
      </c>
      <c r="AS5" s="303">
        <f>1216419
/1000000</f>
        <v>1.2164189999999999</v>
      </c>
      <c r="AT5" s="303">
        <f>4640125
/1000000</f>
        <v>4.6401250000000003</v>
      </c>
      <c r="AU5" s="303">
        <f>837646
/1000000</f>
        <v>0.837646</v>
      </c>
      <c r="AV5" s="303">
        <v>0.16381599999999999</v>
      </c>
      <c r="AW5" s="303">
        <f>1757995
/1000000</f>
        <v>1.757995</v>
      </c>
      <c r="AX5" s="303">
        <f>1825936
/1000000</f>
        <v>1.825936</v>
      </c>
      <c r="AY5" s="303">
        <f>332610
/1000000</f>
        <v>0.33261000000000002</v>
      </c>
      <c r="AZ5" s="303">
        <f>1511835
/1000000</f>
        <v>1.511835</v>
      </c>
      <c r="BA5" s="303">
        <f>126802
/1000000</f>
        <v>0.126802</v>
      </c>
      <c r="BB5"/>
      <c r="BC5"/>
      <c r="BD5"/>
    </row>
    <row r="6" spans="1:56" s="125" customFormat="1" x14ac:dyDescent="0.2">
      <c r="A6">
        <v>3</v>
      </c>
      <c r="B6" s="247" t="s">
        <v>802</v>
      </c>
      <c r="C6" s="247"/>
      <c r="D6" s="303">
        <v>24.8</v>
      </c>
      <c r="E6" s="303">
        <v>33.6</v>
      </c>
      <c r="F6" s="303">
        <v>25.4</v>
      </c>
      <c r="G6" s="303">
        <v>23.2</v>
      </c>
      <c r="H6" s="303">
        <v>25.7</v>
      </c>
      <c r="I6" s="303">
        <v>32.6</v>
      </c>
      <c r="J6" s="303">
        <v>28.5</v>
      </c>
      <c r="K6" s="303">
        <v>26.6</v>
      </c>
      <c r="L6" s="303">
        <v>22.9</v>
      </c>
      <c r="M6" s="303">
        <v>26</v>
      </c>
      <c r="N6" s="303">
        <v>21</v>
      </c>
      <c r="O6" s="303">
        <v>38.799999999999997</v>
      </c>
      <c r="P6" s="303">
        <v>27.2</v>
      </c>
      <c r="Q6" s="303">
        <v>27.3</v>
      </c>
      <c r="R6" s="303">
        <v>38.4</v>
      </c>
      <c r="S6" s="303">
        <v>36.4</v>
      </c>
      <c r="T6" s="303">
        <v>25.3</v>
      </c>
      <c r="U6" s="303">
        <v>19.399999999999999</v>
      </c>
      <c r="V6" s="303">
        <v>32.799999999999997</v>
      </c>
      <c r="W6" s="303">
        <v>27.6</v>
      </c>
      <c r="X6" s="303">
        <v>25.8</v>
      </c>
      <c r="Y6" s="303">
        <v>26.5</v>
      </c>
      <c r="Z6" s="303">
        <v>38</v>
      </c>
      <c r="AA6" s="303">
        <v>25.8</v>
      </c>
      <c r="AB6" s="303">
        <v>31.7</v>
      </c>
      <c r="AC6" s="303">
        <v>29.6</v>
      </c>
      <c r="AD6" s="303">
        <v>36.700000000000003</v>
      </c>
      <c r="AE6" s="303">
        <v>22.2</v>
      </c>
      <c r="AF6" s="303">
        <v>29.4</v>
      </c>
      <c r="AG6" s="303">
        <v>22.6</v>
      </c>
      <c r="AH6" s="303">
        <v>26.6</v>
      </c>
      <c r="AI6" s="303">
        <v>20.7</v>
      </c>
      <c r="AJ6" s="303">
        <v>26.4</v>
      </c>
      <c r="AK6" s="303">
        <v>30.6</v>
      </c>
      <c r="AL6" s="303">
        <v>26.7</v>
      </c>
      <c r="AM6" s="303">
        <v>29.3</v>
      </c>
      <c r="AN6" s="303">
        <v>35.799999999999997</v>
      </c>
      <c r="AO6" s="303">
        <v>26.6</v>
      </c>
      <c r="AP6" s="303">
        <v>25.1</v>
      </c>
      <c r="AQ6" s="303">
        <v>26.8</v>
      </c>
      <c r="AR6" s="303">
        <v>36.799999999999997</v>
      </c>
      <c r="AS6" s="303">
        <v>24.5</v>
      </c>
      <c r="AT6" s="303">
        <v>24.7</v>
      </c>
      <c r="AU6" s="303">
        <v>40.9</v>
      </c>
      <c r="AV6" s="303">
        <v>32</v>
      </c>
      <c r="AW6" s="303">
        <v>28.5</v>
      </c>
      <c r="AX6" s="303">
        <v>34.4</v>
      </c>
      <c r="AY6" s="303">
        <v>22.7</v>
      </c>
      <c r="AZ6" s="303">
        <v>33.799999999999997</v>
      </c>
      <c r="BA6" s="303">
        <v>29.9</v>
      </c>
      <c r="BB6"/>
      <c r="BC6"/>
      <c r="BD6"/>
    </row>
    <row r="7" spans="1:56" s="125" customFormat="1" x14ac:dyDescent="0.2">
      <c r="A7">
        <v>4</v>
      </c>
      <c r="B7" s="247" t="s">
        <v>803</v>
      </c>
      <c r="C7" s="247"/>
      <c r="D7" s="303">
        <f>100810044
/1000000</f>
        <v>100.810044</v>
      </c>
      <c r="E7" s="303">
        <f>24205882
/1000000</f>
        <v>24.205881999999999</v>
      </c>
      <c r="F7" s="303">
        <f>142888932
/1000000</f>
        <v>142.88893200000001</v>
      </c>
      <c r="G7" s="303">
        <f>59263890/1000000</f>
        <v>59.263890000000004</v>
      </c>
      <c r="H7" s="303">
        <f>977893644
/1000000</f>
        <v>977.89364399999999</v>
      </c>
      <c r="I7" s="303">
        <f>144916520/1000000</f>
        <v>144.91651999999999</v>
      </c>
      <c r="J7" s="303">
        <f>81740204
/1000000</f>
        <v>81.740204000000006</v>
      </c>
      <c r="K7" s="303">
        <f>21240319
/1000000</f>
        <v>21.240319</v>
      </c>
      <c r="L7" s="303">
        <f>458679654/1000000</f>
        <v>458.67965400000003</v>
      </c>
      <c r="M7" s="303">
        <f>293942014/1000000</f>
        <v>293.94201399999997</v>
      </c>
      <c r="N7" s="303">
        <f>30745915/1000000</f>
        <v>30.745915</v>
      </c>
      <c r="O7" s="303">
        <f>68659082
/1000000</f>
        <v>68.659081999999998</v>
      </c>
      <c r="P7" s="303">
        <f>359429880
/1000000</f>
        <v>359.42988000000003</v>
      </c>
      <c r="Q7" s="303">
        <f>144271485/1000000</f>
        <v>144.27148500000001</v>
      </c>
      <c r="R7" s="303">
        <f>99266095
/1000000</f>
        <v>99.266095000000007</v>
      </c>
      <c r="S7" s="303">
        <f>90879752
/1000000</f>
        <v>90.879751999999996</v>
      </c>
      <c r="T7" s="303">
        <f>82795530/1000000</f>
        <v>82.795529999999999</v>
      </c>
      <c r="U7" s="303">
        <f>89388956
/1000000</f>
        <v>89.388955999999993</v>
      </c>
      <c r="V7" s="303">
        <f>39615425
/1000000</f>
        <v>39.615425000000002</v>
      </c>
      <c r="W7" s="303">
        <f>178302036/1000000</f>
        <v>178.30203599999999</v>
      </c>
      <c r="X7" s="303">
        <f>137517962
/1000000</f>
        <v>137.51796200000001</v>
      </c>
      <c r="Y7" s="303">
        <f>233563486
/1000000</f>
        <v>233.56348600000001</v>
      </c>
      <c r="Z7" s="303">
        <f>171796166
/1000000</f>
        <v>171.796166</v>
      </c>
      <c r="AA7" s="303">
        <f>83386392
/1000000</f>
        <v>83.386392000000001</v>
      </c>
      <c r="AB7" s="303">
        <f>152895747
/1000000</f>
        <v>152.895747</v>
      </c>
      <c r="AC7" s="303">
        <f>27853556
/1000000</f>
        <v>27.853556000000001</v>
      </c>
      <c r="AD7" s="303">
        <f>49289771
/1000000</f>
        <v>49.289771000000002</v>
      </c>
      <c r="AE7" s="303">
        <f>59782609
/1000000</f>
        <v>59.782609000000001</v>
      </c>
      <c r="AF7" s="303">
        <f>33734860
/1000000</f>
        <v>33.734859999999998</v>
      </c>
      <c r="AG7" s="303">
        <f>173012909
/1000000</f>
        <v>173.01290900000001</v>
      </c>
      <c r="AH7" s="303">
        <f>63892902
/1000000</f>
        <v>63.892901999999999</v>
      </c>
      <c r="AI7" s="303">
        <f>413217753
/1000000</f>
        <v>413.21775300000002</v>
      </c>
      <c r="AJ7" s="303">
        <f>228589461
/1000000</f>
        <v>228.589461</v>
      </c>
      <c r="AK7" s="303">
        <f>14063717
/1000000</f>
        <v>14.063717</v>
      </c>
      <c r="AL7" s="303">
        <f>255304255
/1000000</f>
        <v>255.30425500000001</v>
      </c>
      <c r="AM7" s="303">
        <f>92507169
/1000000</f>
        <v>92.507169000000005</v>
      </c>
      <c r="AN7" s="303">
        <f>136710430
/1000000</f>
        <v>136.71043</v>
      </c>
      <c r="AO7" s="303">
        <f>339478379
/1000000</f>
        <v>339.47837900000002</v>
      </c>
      <c r="AP7" s="303">
        <f>21445220
/1000000</f>
        <v>21.445219999999999</v>
      </c>
      <c r="AQ7" s="303">
        <f>104917722
/1000000</f>
        <v>104.917722</v>
      </c>
      <c r="AR7" s="303">
        <f>22809082
/1000000</f>
        <v>22.809082</v>
      </c>
      <c r="AS7" s="303">
        <f>121161301
/1000000</f>
        <v>121.16130099999999</v>
      </c>
      <c r="AT7" s="303">
        <f>571000911
/1000000</f>
        <v>571.00091099999997</v>
      </c>
      <c r="AU7" s="303">
        <f>143912119
/1000000</f>
        <v>143.91211899999999</v>
      </c>
      <c r="AV7" s="303">
        <v>18.433166</v>
      </c>
      <c r="AW7" s="303">
        <f>231604703
/1000000</f>
        <v>231.604703</v>
      </c>
      <c r="AX7" s="303">
        <f>223835911
/1000000</f>
        <v>223.83591100000001</v>
      </c>
      <c r="AY7" s="303">
        <f>50180911
/1000000</f>
        <v>50.180911000000002</v>
      </c>
      <c r="AZ7" s="303">
        <f>154794946
/1000000</f>
        <v>154.79494600000001</v>
      </c>
      <c r="BA7" s="303">
        <f>15663852
/1000000</f>
        <v>15.663852</v>
      </c>
      <c r="BB7"/>
      <c r="BC7"/>
      <c r="BD7"/>
    </row>
    <row r="8" spans="1:56" s="125" customFormat="1" x14ac:dyDescent="0.2">
      <c r="A8">
        <v>5</v>
      </c>
      <c r="B8" s="247" t="s">
        <v>804</v>
      </c>
      <c r="C8" s="247"/>
      <c r="D8" s="303">
        <v>27.5</v>
      </c>
      <c r="E8" s="303">
        <v>45.7</v>
      </c>
      <c r="F8" s="303">
        <v>28</v>
      </c>
      <c r="G8" s="303">
        <v>26.4</v>
      </c>
      <c r="H8" s="303">
        <v>34.1</v>
      </c>
      <c r="I8" s="303">
        <v>36.5</v>
      </c>
      <c r="J8" s="303">
        <v>29.3</v>
      </c>
      <c r="K8" s="303">
        <v>30.3</v>
      </c>
      <c r="L8" s="303">
        <v>30.8</v>
      </c>
      <c r="M8" s="303">
        <v>39.299999999999997</v>
      </c>
      <c r="N8" s="303">
        <v>30.8</v>
      </c>
      <c r="O8" s="303">
        <v>58.4</v>
      </c>
      <c r="P8" s="303">
        <v>35.9</v>
      </c>
      <c r="Q8" s="303">
        <v>29</v>
      </c>
      <c r="R8" s="303">
        <v>41.9</v>
      </c>
      <c r="S8" s="303">
        <v>41.9</v>
      </c>
      <c r="T8" s="303">
        <v>24.5</v>
      </c>
      <c r="U8" s="303">
        <v>25.8</v>
      </c>
      <c r="V8" s="303">
        <v>37.200000000000003</v>
      </c>
      <c r="W8" s="303">
        <v>39.700000000000003</v>
      </c>
      <c r="X8" s="303">
        <v>25.8</v>
      </c>
      <c r="Y8" s="303">
        <v>30</v>
      </c>
      <c r="Z8" s="303">
        <v>41.5</v>
      </c>
      <c r="AA8" s="303">
        <v>37.5</v>
      </c>
      <c r="AB8" s="303">
        <v>32.700000000000003</v>
      </c>
      <c r="AC8" s="303">
        <v>35.799999999999997</v>
      </c>
      <c r="AD8" s="303">
        <v>35.4</v>
      </c>
      <c r="AE8" s="303">
        <v>29.5</v>
      </c>
      <c r="AF8" s="303">
        <v>31.6</v>
      </c>
      <c r="AG8" s="303">
        <v>25.2</v>
      </c>
      <c r="AH8" s="303">
        <v>41</v>
      </c>
      <c r="AI8" s="303">
        <v>26.6</v>
      </c>
      <c r="AJ8" s="303">
        <v>31.4</v>
      </c>
      <c r="AK8" s="303">
        <v>27.2</v>
      </c>
      <c r="AL8" s="303">
        <v>28.3</v>
      </c>
      <c r="AM8" s="303">
        <v>32.6</v>
      </c>
      <c r="AN8" s="303">
        <v>44.5</v>
      </c>
      <c r="AO8" s="303">
        <v>33.700000000000003</v>
      </c>
      <c r="AP8" s="303">
        <v>25.2</v>
      </c>
      <c r="AQ8" s="303">
        <v>29.4</v>
      </c>
      <c r="AR8" s="303">
        <v>36</v>
      </c>
      <c r="AS8" s="303">
        <v>24.4</v>
      </c>
      <c r="AT8" s="303">
        <v>30.4</v>
      </c>
      <c r="AU8" s="303">
        <v>70.3</v>
      </c>
      <c r="AV8" s="303">
        <v>36</v>
      </c>
      <c r="AW8" s="303">
        <v>37.6</v>
      </c>
      <c r="AX8" s="303">
        <v>42.1</v>
      </c>
      <c r="AY8" s="303">
        <v>34.200000000000003</v>
      </c>
      <c r="AZ8" s="303">
        <v>34.6</v>
      </c>
      <c r="BA8" s="303">
        <v>36.9</v>
      </c>
      <c r="BB8"/>
      <c r="BC8"/>
      <c r="BD8"/>
    </row>
    <row r="9" spans="1:56" s="125" customFormat="1" x14ac:dyDescent="0.2">
      <c r="A9">
        <v>6</v>
      </c>
      <c r="B9" s="251" t="s">
        <v>805</v>
      </c>
      <c r="C9" s="251">
        <v>64.3</v>
      </c>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row>
    <row r="10" spans="1:56" s="125" customFormat="1" x14ac:dyDescent="0.2">
      <c r="A10">
        <v>7</v>
      </c>
      <c r="B10" s="251" t="s">
        <v>806</v>
      </c>
      <c r="C10" s="251">
        <v>26.8</v>
      </c>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row>
    <row r="11" spans="1:56" s="125" customFormat="1" x14ac:dyDescent="0.2">
      <c r="A11">
        <v>8</v>
      </c>
      <c r="B11" s="251" t="s">
        <v>807</v>
      </c>
      <c r="C11" s="251">
        <v>7.9</v>
      </c>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row>
    <row r="12" spans="1:56" s="125" customFormat="1" x14ac:dyDescent="0.2">
      <c r="A12">
        <v>9</v>
      </c>
      <c r="B12" s="247" t="s">
        <v>808</v>
      </c>
      <c r="C12" s="247">
        <v>32.700000000000003</v>
      </c>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row>
    <row r="13" spans="1:56" x14ac:dyDescent="0.2">
      <c r="A13">
        <v>10</v>
      </c>
      <c r="B13" s="85" t="s">
        <v>880</v>
      </c>
      <c r="C13" s="60"/>
      <c r="D13" s="60">
        <f>'Value Housework'!D12</f>
        <v>3875707</v>
      </c>
      <c r="E13" s="60">
        <f>'Value Housework'!E12</f>
        <v>566304</v>
      </c>
      <c r="F13" s="60">
        <f>'Value Housework'!F12</f>
        <v>5114219</v>
      </c>
      <c r="G13" s="60">
        <f>'Value Housework'!G12</f>
        <v>2342979</v>
      </c>
      <c r="H13" s="60">
        <f>'Value Housework'!H12</f>
        <v>30054411</v>
      </c>
      <c r="I13" s="60">
        <f>'Value Housework'!I12</f>
        <v>4086662</v>
      </c>
      <c r="J13" s="60">
        <f>'Value Housework'!J12</f>
        <v>2931830</v>
      </c>
      <c r="K13" s="60">
        <f>'Value Housework'!K12</f>
        <v>738849.00000000012</v>
      </c>
      <c r="L13" s="60">
        <f>'Value Housework'!L12</f>
        <v>15794985</v>
      </c>
      <c r="M13" s="60">
        <f>'Value Housework'!M12</f>
        <v>7733513</v>
      </c>
      <c r="N13" s="60">
        <f>'Value Housework'!N12</f>
        <v>1124672</v>
      </c>
      <c r="O13" s="60">
        <f>'Value Housework'!O12</f>
        <v>1223171</v>
      </c>
      <c r="P13" s="60">
        <f>'Value Housework'!P12</f>
        <v>10307192</v>
      </c>
      <c r="Q13" s="60">
        <f>'Value Housework'!Q12</f>
        <v>5193778</v>
      </c>
      <c r="R13" s="60">
        <f>'Value Housework'!R12</f>
        <v>2463462</v>
      </c>
      <c r="S13" s="60">
        <f>'Value Housework'!S12</f>
        <v>2266214</v>
      </c>
      <c r="T13" s="60">
        <f>'Value Housework'!T12</f>
        <v>3515700</v>
      </c>
      <c r="U13" s="60">
        <f>'Value Housework'!U12</f>
        <v>3641352</v>
      </c>
      <c r="V13" s="60">
        <f>'Value Housework'!V12</f>
        <v>1107952</v>
      </c>
      <c r="W13" s="60">
        <f>'Value Housework'!W12</f>
        <v>4729139</v>
      </c>
      <c r="X13" s="60">
        <f>'Value Housework'!X12</f>
        <v>5459713</v>
      </c>
      <c r="Y13" s="60">
        <f>'Value Housework'!Y12</f>
        <v>8006292</v>
      </c>
      <c r="Z13" s="60">
        <f>'Value Housework'!Z12</f>
        <v>4286009</v>
      </c>
      <c r="AA13" s="60">
        <f>'Value Housework'!AA12</f>
        <v>2348964</v>
      </c>
      <c r="AB13" s="60">
        <f>'Value Housework'!AB12</f>
        <v>4839797</v>
      </c>
      <c r="AC13" s="60">
        <f>'Value Housework'!AC12</f>
        <v>814289</v>
      </c>
      <c r="AD13" s="60">
        <f>'Value Housework'!AD12</f>
        <v>1456385</v>
      </c>
      <c r="AE13" s="60">
        <f>'Value Housework'!AE12</f>
        <v>2169243</v>
      </c>
      <c r="AF13" s="60">
        <f>'Value Housework'!AF12</f>
        <v>1090555</v>
      </c>
      <c r="AG13" s="60">
        <f>'Value Housework'!AG12</f>
        <v>7156032</v>
      </c>
      <c r="AH13" s="60">
        <f>'Value Housework'!AH12</f>
        <v>1644564</v>
      </c>
      <c r="AI13" s="60">
        <f>'Value Housework'!AI12</f>
        <v>15993940</v>
      </c>
      <c r="AJ13" s="60">
        <f>'Value Housework'!AJ12</f>
        <v>7734784.0000000009</v>
      </c>
      <c r="AK13" s="60">
        <f>'Value Housework'!AK12</f>
        <v>557996</v>
      </c>
      <c r="AL13" s="60">
        <f>'Value Housework'!AL12</f>
        <v>9322386</v>
      </c>
      <c r="AM13" s="60">
        <f>'Value Housework'!AM12</f>
        <v>2999780</v>
      </c>
      <c r="AN13" s="60">
        <f>'Value Housework'!AN12</f>
        <v>3151347.0000000005</v>
      </c>
      <c r="AO13" s="60">
        <f>'Value Housework'!AO12</f>
        <v>10489261</v>
      </c>
      <c r="AP13" s="60">
        <f>'Value Housework'!AP12</f>
        <v>872007</v>
      </c>
      <c r="AQ13" s="60">
        <f>'Value Housework'!AQ12</f>
        <v>3770266</v>
      </c>
      <c r="AR13" s="60">
        <f>'Value Housework'!AR12</f>
        <v>654891</v>
      </c>
      <c r="AS13" s="60">
        <f>'Value Housework'!AS12</f>
        <v>5164749</v>
      </c>
      <c r="AT13" s="60">
        <f>'Value Housework'!AT12</f>
        <v>19795615</v>
      </c>
      <c r="AU13" s="60">
        <f>'Value Housework'!AU12</f>
        <v>2062336</v>
      </c>
      <c r="AV13" s="60">
        <f>'Value Housework'!AV12</f>
        <v>524750</v>
      </c>
      <c r="AW13" s="60">
        <f>'Value Housework'!AW12</f>
        <v>6564558</v>
      </c>
      <c r="AX13" s="60">
        <f>'Value Housework'!AX12</f>
        <v>5509972</v>
      </c>
      <c r="AY13" s="60">
        <f>'Value Housework'!AY12</f>
        <v>1535602</v>
      </c>
      <c r="AZ13" s="60">
        <f>'Value Housework'!AZ12</f>
        <v>4616633</v>
      </c>
      <c r="BA13" s="60">
        <f>'Value Housework'!BA12</f>
        <v>453779</v>
      </c>
    </row>
    <row r="14" spans="1:56" x14ac:dyDescent="0.2">
      <c r="A14">
        <v>11</v>
      </c>
      <c r="B14" s="85" t="s">
        <v>879</v>
      </c>
      <c r="D14" s="302">
        <f>D13*$C12</f>
        <v>126735618.90000001</v>
      </c>
      <c r="E14" s="302">
        <f t="shared" ref="E14:BA14" si="44">E13*$C12</f>
        <v>18518140.800000001</v>
      </c>
      <c r="F14" s="302">
        <f t="shared" si="44"/>
        <v>167234961.30000001</v>
      </c>
      <c r="G14" s="302">
        <f t="shared" si="44"/>
        <v>76615413.300000012</v>
      </c>
      <c r="H14" s="302">
        <f t="shared" si="44"/>
        <v>982779239.70000005</v>
      </c>
      <c r="I14" s="302">
        <f t="shared" si="44"/>
        <v>133633847.40000001</v>
      </c>
      <c r="J14" s="302">
        <f t="shared" si="44"/>
        <v>95870841.000000015</v>
      </c>
      <c r="K14" s="302">
        <f t="shared" si="44"/>
        <v>24160362.300000004</v>
      </c>
      <c r="L14" s="302">
        <f t="shared" si="44"/>
        <v>516496009.50000006</v>
      </c>
      <c r="M14" s="302">
        <f t="shared" si="44"/>
        <v>252885875.10000002</v>
      </c>
      <c r="N14" s="302">
        <f t="shared" si="44"/>
        <v>36776774.400000006</v>
      </c>
      <c r="O14" s="302">
        <f t="shared" si="44"/>
        <v>39997691.700000003</v>
      </c>
      <c r="P14" s="302">
        <f t="shared" si="44"/>
        <v>337045178.40000004</v>
      </c>
      <c r="Q14" s="302">
        <f t="shared" si="44"/>
        <v>169836540.60000002</v>
      </c>
      <c r="R14" s="302">
        <f t="shared" si="44"/>
        <v>80555207.400000006</v>
      </c>
      <c r="S14" s="302">
        <f t="shared" si="44"/>
        <v>74105197.800000012</v>
      </c>
      <c r="T14" s="302">
        <f t="shared" si="44"/>
        <v>114963390.00000001</v>
      </c>
      <c r="U14" s="302">
        <f t="shared" si="44"/>
        <v>119072210.40000001</v>
      </c>
      <c r="V14" s="302">
        <f t="shared" si="44"/>
        <v>36230030.400000006</v>
      </c>
      <c r="W14" s="302">
        <f t="shared" si="44"/>
        <v>154642845.30000001</v>
      </c>
      <c r="X14" s="302">
        <f t="shared" si="44"/>
        <v>178532615.10000002</v>
      </c>
      <c r="Y14" s="302">
        <f t="shared" si="44"/>
        <v>261805748.40000004</v>
      </c>
      <c r="Z14" s="302">
        <f t="shared" si="44"/>
        <v>140152494.30000001</v>
      </c>
      <c r="AA14" s="302">
        <f t="shared" si="44"/>
        <v>76811122.800000012</v>
      </c>
      <c r="AB14" s="302">
        <f t="shared" si="44"/>
        <v>158261361.90000001</v>
      </c>
      <c r="AC14" s="302">
        <f t="shared" si="44"/>
        <v>26627250.300000001</v>
      </c>
      <c r="AD14" s="302">
        <f t="shared" si="44"/>
        <v>47623789.500000007</v>
      </c>
      <c r="AE14" s="302">
        <f t="shared" si="44"/>
        <v>70934246.100000009</v>
      </c>
      <c r="AF14" s="302">
        <f t="shared" si="44"/>
        <v>35661148.5</v>
      </c>
      <c r="AG14" s="302">
        <f t="shared" si="44"/>
        <v>234002246.40000001</v>
      </c>
      <c r="AH14" s="302">
        <f t="shared" si="44"/>
        <v>53777242.800000004</v>
      </c>
      <c r="AI14" s="302">
        <f t="shared" si="44"/>
        <v>523001838.00000006</v>
      </c>
      <c r="AJ14" s="302">
        <f t="shared" si="44"/>
        <v>252927436.80000004</v>
      </c>
      <c r="AK14" s="302">
        <f t="shared" si="44"/>
        <v>18246469.200000003</v>
      </c>
      <c r="AL14" s="302">
        <f t="shared" si="44"/>
        <v>304842022.20000005</v>
      </c>
      <c r="AM14" s="302">
        <f t="shared" si="44"/>
        <v>98092806.000000015</v>
      </c>
      <c r="AN14" s="302">
        <f t="shared" si="44"/>
        <v>103049046.90000002</v>
      </c>
      <c r="AO14" s="302">
        <f t="shared" si="44"/>
        <v>342998834.70000005</v>
      </c>
      <c r="AP14" s="302">
        <f t="shared" si="44"/>
        <v>28514628.900000002</v>
      </c>
      <c r="AQ14" s="302">
        <f t="shared" si="44"/>
        <v>123287698.20000002</v>
      </c>
      <c r="AR14" s="302">
        <f t="shared" si="44"/>
        <v>21414935.700000003</v>
      </c>
      <c r="AS14" s="302">
        <f t="shared" si="44"/>
        <v>168887292.30000001</v>
      </c>
      <c r="AT14" s="302">
        <f t="shared" si="44"/>
        <v>647316610.5</v>
      </c>
      <c r="AU14" s="302">
        <f t="shared" si="44"/>
        <v>67438387.200000003</v>
      </c>
      <c r="AV14" s="302">
        <f t="shared" si="44"/>
        <v>17159325</v>
      </c>
      <c r="AW14" s="302">
        <f t="shared" si="44"/>
        <v>214661046.60000002</v>
      </c>
      <c r="AX14" s="302">
        <f t="shared" si="44"/>
        <v>180176084.40000001</v>
      </c>
      <c r="AY14" s="302">
        <f t="shared" si="44"/>
        <v>50214185.400000006</v>
      </c>
      <c r="AZ14" s="302">
        <f t="shared" si="44"/>
        <v>150963899.10000002</v>
      </c>
      <c r="BA14" s="302">
        <f t="shared" si="44"/>
        <v>14838573.300000001</v>
      </c>
    </row>
    <row r="15" spans="1:56" x14ac:dyDescent="0.2">
      <c r="A15">
        <v>12</v>
      </c>
      <c r="B15" s="332" t="s">
        <v>332</v>
      </c>
      <c r="D15" s="175">
        <f t="shared" ref="D15:AH15" si="45">AverageWageRate</f>
        <v>18.83653846153846</v>
      </c>
      <c r="E15" s="175">
        <f t="shared" si="45"/>
        <v>24.802884615384617</v>
      </c>
      <c r="F15" s="175">
        <f t="shared" si="45"/>
        <v>20.995192307692307</v>
      </c>
      <c r="G15" s="175">
        <f t="shared" si="45"/>
        <v>17.471153846153847</v>
      </c>
      <c r="H15" s="175">
        <f t="shared" si="45"/>
        <v>24.956730769230766</v>
      </c>
      <c r="I15" s="175">
        <f t="shared" si="45"/>
        <v>22.841346153846153</v>
      </c>
      <c r="J15" s="175">
        <f t="shared" si="45"/>
        <v>25.39903846153846</v>
      </c>
      <c r="K15" s="175">
        <f t="shared" si="45"/>
        <v>22.798076923076923</v>
      </c>
      <c r="L15" s="175">
        <f t="shared" si="45"/>
        <v>19.591346153846153</v>
      </c>
      <c r="M15" s="175">
        <f t="shared" si="45"/>
        <v>20.47596153846154</v>
      </c>
      <c r="N15" s="175">
        <f t="shared" si="45"/>
        <v>21.442307692307693</v>
      </c>
      <c r="O15" s="175">
        <f t="shared" si="45"/>
        <v>18.519230769230766</v>
      </c>
      <c r="P15" s="175">
        <f t="shared" si="45"/>
        <v>22.379807692307693</v>
      </c>
      <c r="Q15" s="175">
        <f t="shared" si="45"/>
        <v>19.08653846153846</v>
      </c>
      <c r="R15" s="175">
        <f t="shared" si="45"/>
        <v>18.66346153846154</v>
      </c>
      <c r="S15" s="175">
        <f t="shared" si="45"/>
        <v>19.245192307692307</v>
      </c>
      <c r="T15" s="175">
        <f t="shared" si="45"/>
        <v>18.576923076923077</v>
      </c>
      <c r="U15" s="175">
        <f t="shared" si="45"/>
        <v>18.644230769230766</v>
      </c>
      <c r="V15" s="175">
        <f t="shared" si="45"/>
        <v>19.322115384615383</v>
      </c>
      <c r="W15" s="175">
        <f t="shared" si="45"/>
        <v>24.932692307692307</v>
      </c>
      <c r="X15" s="175">
        <f t="shared" si="45"/>
        <v>26.31730769230769</v>
      </c>
      <c r="Y15" s="175">
        <f t="shared" si="45"/>
        <v>21.009615384615383</v>
      </c>
      <c r="Z15" s="175">
        <f t="shared" si="45"/>
        <v>22.1875</v>
      </c>
      <c r="AA15" s="175">
        <f t="shared" si="45"/>
        <v>16.716346153846153</v>
      </c>
      <c r="AB15" s="175">
        <f t="shared" si="45"/>
        <v>19.471153846153847</v>
      </c>
      <c r="AC15" s="175">
        <f t="shared" si="45"/>
        <v>17.71153846153846</v>
      </c>
      <c r="AD15" s="175">
        <f t="shared" si="45"/>
        <v>18.817307692307693</v>
      </c>
      <c r="AE15" s="175">
        <f t="shared" si="45"/>
        <v>20.125</v>
      </c>
      <c r="AF15" s="175">
        <f t="shared" si="45"/>
        <v>21.740384615384617</v>
      </c>
      <c r="AG15" s="175">
        <f t="shared" si="45"/>
        <v>24.778846153846153</v>
      </c>
      <c r="AH15" s="175">
        <f t="shared" si="45"/>
        <v>19.610576923076923</v>
      </c>
      <c r="AI15" s="175">
        <f t="shared" ref="AI15:BA15" si="46">AverageWageRate</f>
        <v>25.389423076923077</v>
      </c>
      <c r="AJ15" s="175">
        <f t="shared" si="46"/>
        <v>19.831730769230766</v>
      </c>
      <c r="AK15" s="175">
        <f t="shared" si="46"/>
        <v>18.6875</v>
      </c>
      <c r="AL15" s="175">
        <f t="shared" si="46"/>
        <v>19.995192307692307</v>
      </c>
      <c r="AM15" s="175">
        <f t="shared" si="46"/>
        <v>18.360576923076923</v>
      </c>
      <c r="AN15" s="175">
        <f t="shared" si="46"/>
        <v>21.293269230769234</v>
      </c>
      <c r="AO15" s="175">
        <f t="shared" si="46"/>
        <v>21.1875</v>
      </c>
      <c r="AP15" s="175">
        <f t="shared" si="46"/>
        <v>22.783653846153847</v>
      </c>
      <c r="AQ15" s="175">
        <f t="shared" si="46"/>
        <v>18.53846153846154</v>
      </c>
      <c r="AR15" s="175">
        <f t="shared" si="46"/>
        <v>17.014423076923077</v>
      </c>
      <c r="AS15" s="175">
        <f t="shared" si="46"/>
        <v>18.8125</v>
      </c>
      <c r="AT15" s="175">
        <f t="shared" si="46"/>
        <v>20.716346153846153</v>
      </c>
      <c r="AU15" s="175">
        <f t="shared" si="46"/>
        <v>19.6875</v>
      </c>
      <c r="AV15" s="175">
        <f t="shared" si="46"/>
        <v>20.71153846153846</v>
      </c>
      <c r="AW15" s="175">
        <f t="shared" si="46"/>
        <v>23.495192307692307</v>
      </c>
      <c r="AX15" s="175">
        <f t="shared" si="46"/>
        <v>24.173076923076923</v>
      </c>
      <c r="AY15" s="175">
        <f t="shared" si="46"/>
        <v>17.41346153846154</v>
      </c>
      <c r="AZ15" s="175">
        <f t="shared" si="46"/>
        <v>19.91346153846154</v>
      </c>
      <c r="BA15" s="175">
        <f t="shared" si="46"/>
        <v>20.4375</v>
      </c>
    </row>
    <row r="16" spans="1:56" x14ac:dyDescent="0.2">
      <c r="B16" s="8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row>
    <row r="18" spans="1:2" x14ac:dyDescent="0.2">
      <c r="A18">
        <v>1</v>
      </c>
      <c r="B18" t="s">
        <v>886</v>
      </c>
    </row>
    <row r="19" spans="1:2" x14ac:dyDescent="0.2">
      <c r="A19">
        <v>2</v>
      </c>
      <c r="B19" t="s">
        <v>811</v>
      </c>
    </row>
    <row r="20" spans="1:2" x14ac:dyDescent="0.2">
      <c r="A20">
        <v>3</v>
      </c>
      <c r="B20" t="s">
        <v>882</v>
      </c>
    </row>
    <row r="21" spans="1:2" x14ac:dyDescent="0.2">
      <c r="A21">
        <v>4</v>
      </c>
      <c r="B21" t="s">
        <v>882</v>
      </c>
    </row>
    <row r="22" spans="1:2" x14ac:dyDescent="0.2">
      <c r="A22">
        <v>5</v>
      </c>
      <c r="B22" t="s">
        <v>811</v>
      </c>
    </row>
    <row r="23" spans="1:2" x14ac:dyDescent="0.2">
      <c r="A23">
        <v>6</v>
      </c>
      <c r="B23" t="s">
        <v>811</v>
      </c>
    </row>
    <row r="24" spans="1:2" x14ac:dyDescent="0.2">
      <c r="A24">
        <v>7</v>
      </c>
      <c r="B24" t="s">
        <v>811</v>
      </c>
    </row>
    <row r="25" spans="1:2" x14ac:dyDescent="0.2">
      <c r="A25">
        <v>8</v>
      </c>
      <c r="B25" t="s">
        <v>811</v>
      </c>
    </row>
    <row r="26" spans="1:2" x14ac:dyDescent="0.2">
      <c r="A26">
        <v>9</v>
      </c>
      <c r="B26" t="s">
        <v>811</v>
      </c>
    </row>
    <row r="27" spans="1:2" x14ac:dyDescent="0.2">
      <c r="A27">
        <v>10</v>
      </c>
      <c r="B27" t="s">
        <v>883</v>
      </c>
    </row>
    <row r="28" spans="1:2" x14ac:dyDescent="0.2">
      <c r="A28">
        <v>11</v>
      </c>
      <c r="B28" t="s">
        <v>884</v>
      </c>
    </row>
    <row r="29" spans="1:2" x14ac:dyDescent="0.2">
      <c r="A29">
        <v>12</v>
      </c>
      <c r="B29" t="s">
        <v>885</v>
      </c>
    </row>
  </sheetData>
  <phoneticPr fontId="103" type="noConversion"/>
  <pageMargins left="0.75" right="0.75" top="1" bottom="1" header="0.3" footer="0.3"/>
  <pageSetup orientation="portrait"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4"/>
  <sheetViews>
    <sheetView workbookViewId="0"/>
  </sheetViews>
  <sheetFormatPr baseColWidth="10" defaultColWidth="8.83203125" defaultRowHeight="16" x14ac:dyDescent="0.2"/>
  <cols>
    <col min="1" max="1" width="7.83203125" customWidth="1"/>
    <col min="2" max="2" width="47" customWidth="1"/>
    <col min="3" max="53" width="14.33203125" customWidth="1"/>
  </cols>
  <sheetData>
    <row r="1" spans="1:53" x14ac:dyDescent="0.2">
      <c r="B1">
        <v>2011</v>
      </c>
      <c r="D1">
        <v>1</v>
      </c>
      <c r="E1">
        <f>D1+1</f>
        <v>2</v>
      </c>
      <c r="F1">
        <f t="shared" ref="F1:K1" si="0">E1+1</f>
        <v>3</v>
      </c>
      <c r="G1">
        <f t="shared" si="0"/>
        <v>4</v>
      </c>
      <c r="H1">
        <f t="shared" si="0"/>
        <v>5</v>
      </c>
      <c r="I1">
        <f t="shared" si="0"/>
        <v>6</v>
      </c>
      <c r="J1">
        <f t="shared" si="0"/>
        <v>7</v>
      </c>
      <c r="K1">
        <f t="shared" si="0"/>
        <v>8</v>
      </c>
      <c r="L1">
        <f t="shared" ref="L1" si="1">K1+1</f>
        <v>9</v>
      </c>
      <c r="M1">
        <f t="shared" ref="M1" si="2">L1+1</f>
        <v>10</v>
      </c>
      <c r="N1">
        <f t="shared" ref="N1" si="3">M1+1</f>
        <v>11</v>
      </c>
      <c r="O1">
        <f t="shared" ref="O1" si="4">N1+1</f>
        <v>12</v>
      </c>
      <c r="P1">
        <f t="shared" ref="P1" si="5">O1+1</f>
        <v>13</v>
      </c>
      <c r="Q1">
        <f t="shared" ref="Q1" si="6">P1+1</f>
        <v>14</v>
      </c>
      <c r="R1">
        <f t="shared" ref="R1" si="7">Q1+1</f>
        <v>15</v>
      </c>
      <c r="S1">
        <f t="shared" ref="S1" si="8">R1+1</f>
        <v>16</v>
      </c>
      <c r="T1">
        <f t="shared" ref="T1" si="9">S1+1</f>
        <v>17</v>
      </c>
      <c r="U1">
        <f t="shared" ref="U1" si="10">T1+1</f>
        <v>18</v>
      </c>
      <c r="V1">
        <f t="shared" ref="V1" si="11">U1+1</f>
        <v>19</v>
      </c>
      <c r="W1">
        <f t="shared" ref="W1" si="12">V1+1</f>
        <v>20</v>
      </c>
      <c r="X1">
        <f t="shared" ref="X1" si="13">W1+1</f>
        <v>21</v>
      </c>
      <c r="Y1">
        <f t="shared" ref="Y1" si="14">X1+1</f>
        <v>22</v>
      </c>
      <c r="Z1">
        <f t="shared" ref="Z1" si="15">Y1+1</f>
        <v>23</v>
      </c>
      <c r="AA1">
        <f t="shared" ref="AA1" si="16">Z1+1</f>
        <v>24</v>
      </c>
      <c r="AB1">
        <f t="shared" ref="AB1" si="17">AA1+1</f>
        <v>25</v>
      </c>
      <c r="AC1">
        <f t="shared" ref="AC1" si="18">AB1+1</f>
        <v>26</v>
      </c>
      <c r="AD1">
        <f t="shared" ref="AD1" si="19">AC1+1</f>
        <v>27</v>
      </c>
      <c r="AE1">
        <f t="shared" ref="AE1" si="20">AD1+1</f>
        <v>28</v>
      </c>
      <c r="AF1">
        <f t="shared" ref="AF1" si="21">AE1+1</f>
        <v>29</v>
      </c>
      <c r="AG1">
        <f t="shared" ref="AG1" si="22">AF1+1</f>
        <v>30</v>
      </c>
      <c r="AH1">
        <f t="shared" ref="AH1" si="23">AG1+1</f>
        <v>31</v>
      </c>
      <c r="AI1">
        <f t="shared" ref="AI1" si="24">AH1+1</f>
        <v>32</v>
      </c>
      <c r="AJ1">
        <f t="shared" ref="AJ1" si="25">AI1+1</f>
        <v>33</v>
      </c>
      <c r="AK1">
        <f t="shared" ref="AK1" si="26">AJ1+1</f>
        <v>34</v>
      </c>
      <c r="AL1">
        <f t="shared" ref="AL1" si="27">AK1+1</f>
        <v>35</v>
      </c>
      <c r="AM1">
        <f t="shared" ref="AM1" si="28">AL1+1</f>
        <v>36</v>
      </c>
      <c r="AN1">
        <f t="shared" ref="AN1" si="29">AM1+1</f>
        <v>37</v>
      </c>
      <c r="AO1">
        <f t="shared" ref="AO1" si="30">AN1+1</f>
        <v>38</v>
      </c>
      <c r="AP1">
        <f t="shared" ref="AP1" si="31">AO1+1</f>
        <v>39</v>
      </c>
      <c r="AQ1">
        <f t="shared" ref="AQ1" si="32">AP1+1</f>
        <v>40</v>
      </c>
      <c r="AR1">
        <f t="shared" ref="AR1" si="33">AQ1+1</f>
        <v>41</v>
      </c>
      <c r="AS1">
        <f t="shared" ref="AS1" si="34">AR1+1</f>
        <v>42</v>
      </c>
      <c r="AT1">
        <f t="shared" ref="AT1" si="35">AS1+1</f>
        <v>43</v>
      </c>
      <c r="AU1">
        <f t="shared" ref="AU1" si="36">AT1+1</f>
        <v>44</v>
      </c>
      <c r="AV1">
        <f t="shared" ref="AV1" si="37">AU1+1</f>
        <v>45</v>
      </c>
      <c r="AW1">
        <f t="shared" ref="AW1" si="38">AV1+1</f>
        <v>46</v>
      </c>
      <c r="AX1">
        <f t="shared" ref="AX1" si="39">AW1+1</f>
        <v>47</v>
      </c>
      <c r="AY1">
        <f t="shared" ref="AY1" si="40">AX1+1</f>
        <v>48</v>
      </c>
      <c r="AZ1">
        <f t="shared" ref="AZ1" si="41">AY1+1</f>
        <v>49</v>
      </c>
      <c r="BA1">
        <f t="shared" ref="BA1" si="42">AZ1+1</f>
        <v>50</v>
      </c>
    </row>
    <row r="2" spans="1:53" x14ac:dyDescent="0.2">
      <c r="C2" s="6"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row>
    <row r="3" spans="1:53" x14ac:dyDescent="0.2">
      <c r="C3" s="6"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row>
    <row r="4" spans="1:53" x14ac:dyDescent="0.2">
      <c r="A4">
        <v>1</v>
      </c>
      <c r="B4" s="243" t="s">
        <v>126</v>
      </c>
      <c r="C4" s="245">
        <f>SUM(D4:BA4)</f>
        <v>689.08975888465841</v>
      </c>
      <c r="D4" s="244">
        <f>D11*D10/1000000000</f>
        <v>8.4819239698136535</v>
      </c>
      <c r="E4" s="244">
        <f t="shared" ref="E4:BA4" si="43">E11*E10/1000000000</f>
        <v>1.921247804621856</v>
      </c>
      <c r="F4" s="244">
        <f t="shared" si="43"/>
        <v>12.879648533102365</v>
      </c>
      <c r="G4" s="244">
        <f t="shared" si="43"/>
        <v>4.9847023174926814</v>
      </c>
      <c r="H4" s="244">
        <f t="shared" si="43"/>
        <v>88.997737323905056</v>
      </c>
      <c r="I4" s="244">
        <f t="shared" si="43"/>
        <v>12.971526288929388</v>
      </c>
      <c r="J4" s="244">
        <f t="shared" si="43"/>
        <v>10.056330422866019</v>
      </c>
      <c r="K4" s="244">
        <f t="shared" si="43"/>
        <v>2.1267820136775692</v>
      </c>
      <c r="L4" s="244">
        <f t="shared" si="43"/>
        <v>36.717437393961347</v>
      </c>
      <c r="M4" s="244">
        <f t="shared" si="43"/>
        <v>19.780728162462012</v>
      </c>
      <c r="N4" s="244">
        <f t="shared" si="43"/>
        <v>2.9327113368434428</v>
      </c>
      <c r="O4" s="244">
        <f t="shared" si="43"/>
        <v>2.9206094831914848</v>
      </c>
      <c r="P4" s="244">
        <f t="shared" si="43"/>
        <v>29.973020998735098</v>
      </c>
      <c r="Q4" s="244">
        <f t="shared" si="43"/>
        <v>12.517156779371394</v>
      </c>
      <c r="R4" s="244">
        <f t="shared" si="43"/>
        <v>6.7678304418924062</v>
      </c>
      <c r="S4" s="244">
        <f t="shared" si="43"/>
        <v>6.2146347903805497</v>
      </c>
      <c r="T4" s="244">
        <f t="shared" si="43"/>
        <v>7.986837178309016</v>
      </c>
      <c r="U4" s="244">
        <f t="shared" si="43"/>
        <v>8.1867313389357452</v>
      </c>
      <c r="V4" s="244">
        <f t="shared" si="43"/>
        <v>2.8389828688428982</v>
      </c>
      <c r="W4" s="244">
        <f t="shared" si="43"/>
        <v>16.560598949607638</v>
      </c>
      <c r="X4" s="244">
        <f t="shared" si="43"/>
        <v>19.182556051614046</v>
      </c>
      <c r="Y4" s="244">
        <f t="shared" si="43"/>
        <v>19.590902902019078</v>
      </c>
      <c r="Z4" s="244">
        <f t="shared" si="43"/>
        <v>14.089864771670999</v>
      </c>
      <c r="AA4" s="244">
        <f t="shared" si="43"/>
        <v>4.559892771294173</v>
      </c>
      <c r="AB4" s="244">
        <f t="shared" si="43"/>
        <v>12.337877715507693</v>
      </c>
      <c r="AC4" s="244">
        <f t="shared" si="43"/>
        <v>1.8389087581787997</v>
      </c>
      <c r="AD4" s="244">
        <f t="shared" si="43"/>
        <v>4.2257838629618538</v>
      </c>
      <c r="AE4" s="244">
        <f t="shared" si="43"/>
        <v>5.3154523828959004</v>
      </c>
      <c r="AF4" s="244">
        <f t="shared" si="43"/>
        <v>3.494577928790954</v>
      </c>
      <c r="AG4" s="244">
        <f t="shared" si="43"/>
        <v>23.167902344453999</v>
      </c>
      <c r="AH4" s="244">
        <f t="shared" si="43"/>
        <v>3.7927642530515997</v>
      </c>
      <c r="AI4" s="244">
        <f t="shared" si="43"/>
        <v>50.948539668120013</v>
      </c>
      <c r="AJ4" s="244">
        <f t="shared" si="43"/>
        <v>18.616226066890739</v>
      </c>
      <c r="AK4" s="244">
        <f t="shared" si="43"/>
        <v>1.6477247540120252</v>
      </c>
      <c r="AL4" s="244">
        <f t="shared" si="43"/>
        <v>24.228291504026661</v>
      </c>
      <c r="AM4" s="244">
        <f t="shared" si="43"/>
        <v>7.1500254747527778</v>
      </c>
      <c r="AN4" s="244">
        <f t="shared" si="43"/>
        <v>8.4808859608187745</v>
      </c>
      <c r="AO4" s="244">
        <f t="shared" si="43"/>
        <v>28.636964888096252</v>
      </c>
      <c r="AP4" s="244">
        <f t="shared" si="43"/>
        <v>2.5601927167278</v>
      </c>
      <c r="AQ4" s="244">
        <f t="shared" si="43"/>
        <v>8.1104002086552942</v>
      </c>
      <c r="AR4" s="244">
        <f t="shared" si="43"/>
        <v>1.6817417639841432</v>
      </c>
      <c r="AS4" s="244">
        <f t="shared" si="43"/>
        <v>12.166295014453125</v>
      </c>
      <c r="AT4" s="244">
        <f t="shared" si="43"/>
        <v>54.63452351030314</v>
      </c>
      <c r="AU4" s="244">
        <f t="shared" si="43"/>
        <v>5.6684524676574366</v>
      </c>
      <c r="AV4" s="244">
        <f t="shared" si="43"/>
        <v>1.6097892449796003</v>
      </c>
      <c r="AW4" s="244">
        <f t="shared" si="43"/>
        <v>21.400396606790164</v>
      </c>
      <c r="AX4" s="244">
        <f t="shared" si="43"/>
        <v>16.935366419532834</v>
      </c>
      <c r="AY4" s="244">
        <f t="shared" si="43"/>
        <v>2.972996543400606</v>
      </c>
      <c r="AZ4" s="244">
        <f t="shared" si="43"/>
        <v>12.867923370154053</v>
      </c>
      <c r="BA4" s="244">
        <f t="shared" si="43"/>
        <v>1.3593605619222</v>
      </c>
    </row>
    <row r="5" spans="1:53" x14ac:dyDescent="0.2">
      <c r="A5">
        <v>2</v>
      </c>
      <c r="B5" s="250" t="s">
        <v>682</v>
      </c>
      <c r="C5" s="341">
        <v>7.99</v>
      </c>
    </row>
    <row r="6" spans="1:53" x14ac:dyDescent="0.2">
      <c r="A6">
        <v>3</v>
      </c>
      <c r="B6" s="227" t="s">
        <v>1040</v>
      </c>
      <c r="C6" s="227">
        <v>245.4</v>
      </c>
    </row>
    <row r="7" spans="1:53" x14ac:dyDescent="0.2">
      <c r="A7">
        <v>4</v>
      </c>
      <c r="B7" t="s">
        <v>684</v>
      </c>
      <c r="D7" s="60">
        <f>'Cost Underemployment'!D37</f>
        <v>2189650</v>
      </c>
      <c r="E7" s="60">
        <f>'Cost Underemployment'!E37</f>
        <v>364914</v>
      </c>
      <c r="F7" s="60">
        <f>'Cost Underemployment'!F37</f>
        <v>3048567</v>
      </c>
      <c r="G7" s="60">
        <f>'Cost Underemployment'!G37</f>
        <v>1353474</v>
      </c>
      <c r="H7" s="60">
        <f>'Cost Underemployment'!H37</f>
        <v>18417883</v>
      </c>
      <c r="I7" s="60">
        <f>'Cost Underemployment'!I37</f>
        <v>2725757</v>
      </c>
      <c r="J7" s="60">
        <f>'Cost Underemployment'!J37</f>
        <v>1907117</v>
      </c>
      <c r="K7" s="60">
        <f>'Cost Underemployment'!K37</f>
        <v>437956</v>
      </c>
      <c r="L7" s="60">
        <f>'Cost Underemployment'!L37</f>
        <v>9268433</v>
      </c>
      <c r="M7" s="60">
        <f>'Cost Underemployment'!M37</f>
        <v>4748636</v>
      </c>
      <c r="N7" s="60">
        <f>'Cost Underemployment'!N37</f>
        <v>656471</v>
      </c>
      <c r="O7" s="60">
        <f>'Cost Underemployment'!O37</f>
        <v>765974</v>
      </c>
      <c r="P7" s="60">
        <f>'Cost Underemployment'!P37</f>
        <v>6575390</v>
      </c>
      <c r="Q7" s="60">
        <f>'Cost Underemployment'!Q37</f>
        <v>3170125</v>
      </c>
      <c r="R7" s="60">
        <f>'Cost Underemployment'!R37</f>
        <v>1665939</v>
      </c>
      <c r="S7" s="60">
        <f>'Cost Underemployment'!S37</f>
        <v>1497028</v>
      </c>
      <c r="T7" s="60">
        <f>'Cost Underemployment'!T37</f>
        <v>2075793</v>
      </c>
      <c r="U7" s="60">
        <f>'Cost Underemployment'!U37</f>
        <v>2066206</v>
      </c>
      <c r="V7" s="60">
        <f>'Cost Underemployment'!V37</f>
        <v>705222</v>
      </c>
      <c r="W7" s="60">
        <f>'Cost Underemployment'!W37</f>
        <v>3096855</v>
      </c>
      <c r="X7" s="60">
        <f>'Cost Underemployment'!X37</f>
        <v>3465849</v>
      </c>
      <c r="Y7" s="60">
        <f>'Cost Underemployment'!Y37</f>
        <v>4679568</v>
      </c>
      <c r="Z7" s="60">
        <f>'Cost Underemployment'!Z37</f>
        <v>2967614</v>
      </c>
      <c r="AA7" s="60">
        <f>'Cost Underemployment'!AA37</f>
        <v>1329635</v>
      </c>
      <c r="AB7" s="60">
        <f>'Cost Underemployment'!AB37</f>
        <v>3016480</v>
      </c>
      <c r="AC7" s="60">
        <f>'Cost Underemployment'!AC37</f>
        <v>499512</v>
      </c>
      <c r="AD7" s="60">
        <f>'Cost Underemployment'!AD37</f>
        <v>1004516</v>
      </c>
      <c r="AE7" s="60">
        <f>'Cost Underemployment'!AE37</f>
        <v>1392356</v>
      </c>
      <c r="AF7" s="60">
        <f>'Cost Underemployment'!AF37</f>
        <v>738464</v>
      </c>
      <c r="AG7" s="60">
        <f>'Cost Underemployment'!AG37</f>
        <v>4535778</v>
      </c>
      <c r="AH7" s="60">
        <f>'Cost Underemployment'!AH37</f>
        <v>923936</v>
      </c>
      <c r="AI7" s="60">
        <f>'Cost Underemployment'!AI37</f>
        <v>9541651</v>
      </c>
      <c r="AJ7" s="60">
        <f>'Cost Underemployment'!AJ37</f>
        <v>4659221</v>
      </c>
      <c r="AK7" s="60">
        <f>'Cost Underemployment'!AK37</f>
        <v>384691</v>
      </c>
      <c r="AL7" s="60">
        <f>'Cost Underemployment'!AL37</f>
        <v>5788601</v>
      </c>
      <c r="AM7" s="60">
        <f>'Cost Underemployment'!AM37</f>
        <v>1777032</v>
      </c>
      <c r="AN7" s="60">
        <f>'Cost Underemployment'!AN37</f>
        <v>1967299</v>
      </c>
      <c r="AO7" s="60">
        <f>'Cost Underemployment'!AO37</f>
        <v>6396900</v>
      </c>
      <c r="AP7" s="60">
        <f>'Cost Underemployment'!AP37</f>
        <v>562536</v>
      </c>
      <c r="AQ7" s="60">
        <f>'Cost Underemployment'!AQ37</f>
        <v>2179419</v>
      </c>
      <c r="AR7" s="60">
        <f>'Cost Underemployment'!AR37</f>
        <v>444079</v>
      </c>
      <c r="AS7" s="60">
        <f>'Cost Underemployment'!AS37</f>
        <v>3118750</v>
      </c>
      <c r="AT7" s="60">
        <f>'Cost Underemployment'!AT37</f>
        <v>12496287</v>
      </c>
      <c r="AU7" s="60">
        <f>'Cost Underemployment'!AU37</f>
        <v>1353257</v>
      </c>
      <c r="AV7" s="60">
        <f>'Cost Underemployment'!AV37</f>
        <v>358286</v>
      </c>
      <c r="AW7" s="60">
        <f>'Cost Underemployment'!AW37</f>
        <v>4208232</v>
      </c>
      <c r="AX7" s="60">
        <f>'Cost Underemployment'!AX37</f>
        <v>3473092</v>
      </c>
      <c r="AY7" s="60">
        <f>'Cost Underemployment'!AY37</f>
        <v>806165</v>
      </c>
      <c r="AZ7" s="60">
        <f>'Cost Underemployment'!AZ37</f>
        <v>3069021</v>
      </c>
      <c r="BA7" s="60">
        <f>'Cost Underemployment'!BA37</f>
        <v>303176</v>
      </c>
    </row>
    <row r="8" spans="1:53" x14ac:dyDescent="0.2">
      <c r="A8">
        <v>5</v>
      </c>
      <c r="B8" t="s">
        <v>685</v>
      </c>
      <c r="D8">
        <f>'Cost Underemployment'!D6</f>
        <v>16.2</v>
      </c>
      <c r="E8">
        <f>'Cost Underemployment'!E6</f>
        <v>13.5</v>
      </c>
      <c r="F8">
        <f>'Cost Underemployment'!F6</f>
        <v>18</v>
      </c>
      <c r="G8">
        <f>'Cost Underemployment'!G6</f>
        <v>14.1</v>
      </c>
      <c r="H8">
        <f>'Cost Underemployment'!H6</f>
        <v>21.1</v>
      </c>
      <c r="I8">
        <f>'Cost Underemployment'!I6</f>
        <v>15.1</v>
      </c>
      <c r="J8">
        <f>'Cost Underemployment'!J6</f>
        <v>15.4</v>
      </c>
      <c r="K8">
        <f>'Cost Underemployment'!K6</f>
        <v>13.2</v>
      </c>
      <c r="L8">
        <f>'Cost Underemployment'!L6</f>
        <v>17.600000000000001</v>
      </c>
      <c r="M8">
        <f>'Cost Underemployment'!M6</f>
        <v>17.100000000000001</v>
      </c>
      <c r="N8">
        <f>'Cost Underemployment'!N6</f>
        <v>15.1</v>
      </c>
      <c r="O8">
        <f>'Cost Underemployment'!O6</f>
        <v>16.100000000000001</v>
      </c>
      <c r="P8">
        <f>'Cost Underemployment'!P6</f>
        <v>17</v>
      </c>
      <c r="Q8">
        <f>'Cost Underemployment'!Q6</f>
        <v>15.7</v>
      </c>
      <c r="R8">
        <f>'Cost Underemployment'!R6</f>
        <v>11.3</v>
      </c>
      <c r="S8">
        <f>'Cost Underemployment'!S6</f>
        <v>12.1</v>
      </c>
      <c r="T8">
        <f>'Cost Underemployment'!T6</f>
        <v>15.6</v>
      </c>
      <c r="U8">
        <f>'Cost Underemployment'!U6</f>
        <v>13.4</v>
      </c>
      <c r="V8">
        <f>'Cost Underemployment'!V6</f>
        <v>15.1</v>
      </c>
      <c r="W8">
        <f>'Cost Underemployment'!W6</f>
        <v>12.6</v>
      </c>
      <c r="X8">
        <f>'Cost Underemployment'!X6</f>
        <v>14.3</v>
      </c>
      <c r="Y8">
        <f>'Cost Underemployment'!Y6</f>
        <v>18.8</v>
      </c>
      <c r="Z8">
        <f>'Cost Underemployment'!Z6</f>
        <v>12.8</v>
      </c>
      <c r="AA8">
        <f>'Cost Underemployment'!AA6</f>
        <v>16.399999999999999</v>
      </c>
      <c r="AB8">
        <f>'Cost Underemployment'!AB6</f>
        <v>14.4</v>
      </c>
      <c r="AC8">
        <f>'Cost Underemployment'!AC6</f>
        <v>15.3</v>
      </c>
      <c r="AD8">
        <f>'Cost Underemployment'!AD6</f>
        <v>8.9</v>
      </c>
      <c r="AE8">
        <f>'Cost Underemployment'!AE6</f>
        <v>22.7</v>
      </c>
      <c r="AF8">
        <f>'Cost Underemployment'!AF6</f>
        <v>11.3</v>
      </c>
      <c r="AG8">
        <f>'Cost Underemployment'!AG6</f>
        <v>16</v>
      </c>
      <c r="AH8">
        <f>'Cost Underemployment'!AH6</f>
        <v>14.7</v>
      </c>
      <c r="AI8">
        <f>'Cost Underemployment'!AI6</f>
        <v>14.3</v>
      </c>
      <c r="AJ8">
        <f>'Cost Underemployment'!AJ6</f>
        <v>17.899999999999999</v>
      </c>
      <c r="AK8">
        <f>'Cost Underemployment'!AK6</f>
        <v>6.6</v>
      </c>
      <c r="AL8">
        <f>'Cost Underemployment'!AL6</f>
        <v>14.7</v>
      </c>
      <c r="AM8">
        <f>'Cost Underemployment'!AM6</f>
        <v>10.7</v>
      </c>
      <c r="AN8">
        <f>'Cost Underemployment'!AN6</f>
        <v>17.5</v>
      </c>
      <c r="AO8">
        <f>'Cost Underemployment'!AO6</f>
        <v>13.9</v>
      </c>
      <c r="AP8">
        <f>'Cost Underemployment'!AP6</f>
        <v>18.600000000000001</v>
      </c>
      <c r="AQ8">
        <f>'Cost Underemployment'!AQ6</f>
        <v>18.2</v>
      </c>
      <c r="AR8">
        <f>'Cost Underemployment'!AR6</f>
        <v>9.3000000000000007</v>
      </c>
      <c r="AS8">
        <f>'Cost Underemployment'!AS6</f>
        <v>15.5</v>
      </c>
      <c r="AT8">
        <f>'Cost Underemployment'!AT6</f>
        <v>14</v>
      </c>
      <c r="AU8">
        <f>'Cost Underemployment'!AU6</f>
        <v>13.3</v>
      </c>
      <c r="AV8">
        <f>'Cost Underemployment'!AV6</f>
        <v>11.6</v>
      </c>
      <c r="AW8">
        <f>'Cost Underemployment'!AW6</f>
        <v>11.8</v>
      </c>
      <c r="AX8">
        <f>'Cost Underemployment'!AX6</f>
        <v>17.8</v>
      </c>
      <c r="AY8">
        <f>'Cost Underemployment'!AY6</f>
        <v>13.7</v>
      </c>
      <c r="AZ8">
        <f>'Cost Underemployment'!AZ6</f>
        <v>14.2</v>
      </c>
      <c r="BA8">
        <f>'Cost Underemployment'!BA6</f>
        <v>10.6</v>
      </c>
    </row>
    <row r="9" spans="1:53" x14ac:dyDescent="0.2">
      <c r="A9">
        <v>6</v>
      </c>
      <c r="B9" t="s">
        <v>1039</v>
      </c>
      <c r="D9" s="302">
        <f t="shared" ref="D9:AZ9" si="44">((100-D8)/100)*D7</f>
        <v>1834926.7</v>
      </c>
      <c r="E9" s="302">
        <f t="shared" si="44"/>
        <v>315650.61</v>
      </c>
      <c r="F9" s="302">
        <f t="shared" si="44"/>
        <v>2499824.94</v>
      </c>
      <c r="G9" s="302">
        <f t="shared" si="44"/>
        <v>1162634.1660000002</v>
      </c>
      <c r="H9" s="302">
        <f t="shared" si="44"/>
        <v>14531709.687000001</v>
      </c>
      <c r="I9" s="302">
        <f t="shared" si="44"/>
        <v>2314167.6930000004</v>
      </c>
      <c r="J9" s="302">
        <f t="shared" si="44"/>
        <v>1613420.9819999998</v>
      </c>
      <c r="K9" s="302">
        <f t="shared" si="44"/>
        <v>380145.80800000002</v>
      </c>
      <c r="L9" s="302">
        <f t="shared" si="44"/>
        <v>7637188.7920000004</v>
      </c>
      <c r="M9" s="302">
        <f t="shared" si="44"/>
        <v>3936619.2440000004</v>
      </c>
      <c r="N9" s="302">
        <f t="shared" si="44"/>
        <v>557343.87900000007</v>
      </c>
      <c r="O9" s="302">
        <f t="shared" si="44"/>
        <v>642652.1860000001</v>
      </c>
      <c r="P9" s="302">
        <f t="shared" si="44"/>
        <v>5457573.7000000002</v>
      </c>
      <c r="Q9" s="302">
        <f t="shared" si="44"/>
        <v>2672415.375</v>
      </c>
      <c r="R9" s="302">
        <f t="shared" si="44"/>
        <v>1477687.8929999999</v>
      </c>
      <c r="S9" s="302">
        <f t="shared" si="44"/>
        <v>1315887.612</v>
      </c>
      <c r="T9" s="302">
        <f t="shared" si="44"/>
        <v>1751969.2920000001</v>
      </c>
      <c r="U9" s="302">
        <f t="shared" si="44"/>
        <v>1789334.3959999999</v>
      </c>
      <c r="V9" s="302">
        <f t="shared" si="44"/>
        <v>598733.47800000012</v>
      </c>
      <c r="W9" s="302">
        <f t="shared" si="44"/>
        <v>2706651.2700000005</v>
      </c>
      <c r="X9" s="302">
        <f t="shared" si="44"/>
        <v>2970232.5929999999</v>
      </c>
      <c r="Y9" s="302">
        <f t="shared" si="44"/>
        <v>3799809.2160000005</v>
      </c>
      <c r="Z9" s="302">
        <f t="shared" si="44"/>
        <v>2587759.4079999998</v>
      </c>
      <c r="AA9" s="302">
        <f t="shared" si="44"/>
        <v>1111574.8599999999</v>
      </c>
      <c r="AB9" s="302">
        <f t="shared" si="44"/>
        <v>2582106.88</v>
      </c>
      <c r="AC9" s="302">
        <f t="shared" si="44"/>
        <v>423086.66399999999</v>
      </c>
      <c r="AD9" s="302">
        <f t="shared" si="44"/>
        <v>915114.07599999988</v>
      </c>
      <c r="AE9" s="302">
        <f t="shared" si="44"/>
        <v>1076291.1880000001</v>
      </c>
      <c r="AF9" s="302">
        <f t="shared" si="44"/>
        <v>655017.56799999997</v>
      </c>
      <c r="AG9" s="302">
        <f t="shared" si="44"/>
        <v>3810053.52</v>
      </c>
      <c r="AH9" s="302">
        <f t="shared" si="44"/>
        <v>788117.40799999994</v>
      </c>
      <c r="AI9" s="302">
        <f t="shared" si="44"/>
        <v>8177194.9069999997</v>
      </c>
      <c r="AJ9" s="302">
        <f t="shared" si="44"/>
        <v>3825220.4409999996</v>
      </c>
      <c r="AK9" s="302">
        <f t="shared" si="44"/>
        <v>359301.39400000003</v>
      </c>
      <c r="AL9" s="302">
        <f t="shared" si="44"/>
        <v>4937676.6529999999</v>
      </c>
      <c r="AM9" s="302">
        <f t="shared" si="44"/>
        <v>1586889.5760000001</v>
      </c>
      <c r="AN9" s="302">
        <f t="shared" si="44"/>
        <v>1623021.6749999998</v>
      </c>
      <c r="AO9" s="302">
        <f t="shared" si="44"/>
        <v>5507730.9000000004</v>
      </c>
      <c r="AP9" s="302">
        <f t="shared" si="44"/>
        <v>457904.304</v>
      </c>
      <c r="AQ9" s="302">
        <f t="shared" si="44"/>
        <v>1782764.7419999999</v>
      </c>
      <c r="AR9" s="302">
        <f t="shared" si="44"/>
        <v>402779.65299999999</v>
      </c>
      <c r="AS9" s="302">
        <f t="shared" si="44"/>
        <v>2635343.75</v>
      </c>
      <c r="AT9" s="302">
        <f t="shared" si="44"/>
        <v>10746806.82</v>
      </c>
      <c r="AU9" s="302">
        <f t="shared" si="44"/>
        <v>1173273.8189999999</v>
      </c>
      <c r="AV9" s="302">
        <f t="shared" si="44"/>
        <v>316724.82400000002</v>
      </c>
      <c r="AW9" s="302">
        <f t="shared" si="44"/>
        <v>3711660.6239999998</v>
      </c>
      <c r="AX9" s="302">
        <f t="shared" si="44"/>
        <v>2854881.6240000003</v>
      </c>
      <c r="AY9" s="302">
        <f t="shared" si="44"/>
        <v>695720.39500000002</v>
      </c>
      <c r="AZ9" s="302">
        <f t="shared" si="44"/>
        <v>2633220.0180000002</v>
      </c>
      <c r="BA9" s="302">
        <f>((100-BA8)/100)*BA7</f>
        <v>271039.34399999998</v>
      </c>
    </row>
    <row r="10" spans="1:53" x14ac:dyDescent="0.2">
      <c r="A10">
        <v>7</v>
      </c>
      <c r="B10" t="s">
        <v>688</v>
      </c>
      <c r="D10" s="302">
        <f>D9*$C6</f>
        <v>450291012.18000001</v>
      </c>
      <c r="E10" s="302">
        <f>E9*$C6</f>
        <v>77460659.694000006</v>
      </c>
      <c r="F10" s="302">
        <f>F9*$C6</f>
        <v>613457040.27600002</v>
      </c>
      <c r="G10" s="302">
        <f t="shared" ref="G10:BA10" si="45">G9*$C6</f>
        <v>285310424.33640003</v>
      </c>
      <c r="H10" s="302">
        <f t="shared" si="45"/>
        <v>3566081557.1898003</v>
      </c>
      <c r="I10" s="302">
        <f t="shared" si="45"/>
        <v>567896751.86220014</v>
      </c>
      <c r="J10" s="302">
        <f t="shared" si="45"/>
        <v>395933508.98279995</v>
      </c>
      <c r="K10" s="302">
        <f t="shared" si="45"/>
        <v>93287781.283200011</v>
      </c>
      <c r="L10" s="302">
        <f t="shared" si="45"/>
        <v>1874166129.5568001</v>
      </c>
      <c r="M10" s="302">
        <f t="shared" si="45"/>
        <v>966046362.4776001</v>
      </c>
      <c r="N10" s="302">
        <f t="shared" si="45"/>
        <v>136772187.90660003</v>
      </c>
      <c r="O10" s="302">
        <f t="shared" si="45"/>
        <v>157706846.44440004</v>
      </c>
      <c r="P10" s="302">
        <f t="shared" si="45"/>
        <v>1339288585.98</v>
      </c>
      <c r="Q10" s="302">
        <f t="shared" si="45"/>
        <v>655810733.02499998</v>
      </c>
      <c r="R10" s="302">
        <f t="shared" si="45"/>
        <v>362624608.94220001</v>
      </c>
      <c r="S10" s="302">
        <f t="shared" si="45"/>
        <v>322918819.98479998</v>
      </c>
      <c r="T10" s="302">
        <f t="shared" si="45"/>
        <v>429933264.25680006</v>
      </c>
      <c r="U10" s="302">
        <f t="shared" si="45"/>
        <v>439102660.7784</v>
      </c>
      <c r="V10" s="302">
        <f t="shared" si="45"/>
        <v>146929195.50120002</v>
      </c>
      <c r="W10" s="302">
        <f t="shared" si="45"/>
        <v>664212221.65800011</v>
      </c>
      <c r="X10" s="302">
        <f t="shared" si="45"/>
        <v>728895078.32219994</v>
      </c>
      <c r="Y10" s="302">
        <f t="shared" si="45"/>
        <v>932473181.60640013</v>
      </c>
      <c r="Z10" s="302">
        <f t="shared" si="45"/>
        <v>635036158.72319996</v>
      </c>
      <c r="AA10" s="302">
        <f t="shared" si="45"/>
        <v>272780470.64399999</v>
      </c>
      <c r="AB10" s="302">
        <f t="shared" si="45"/>
        <v>633649028.352</v>
      </c>
      <c r="AC10" s="302">
        <f t="shared" si="45"/>
        <v>103825467.34559999</v>
      </c>
      <c r="AD10" s="302">
        <f t="shared" si="45"/>
        <v>224568994.25039998</v>
      </c>
      <c r="AE10" s="302">
        <f t="shared" si="45"/>
        <v>264121857.53520003</v>
      </c>
      <c r="AF10" s="302">
        <f t="shared" si="45"/>
        <v>160741311.18720001</v>
      </c>
      <c r="AG10" s="302">
        <f t="shared" si="45"/>
        <v>934987133.80799997</v>
      </c>
      <c r="AH10" s="302">
        <f t="shared" si="45"/>
        <v>193404011.92319998</v>
      </c>
      <c r="AI10" s="302">
        <f t="shared" si="45"/>
        <v>2006683630.1777999</v>
      </c>
      <c r="AJ10" s="302">
        <f t="shared" si="45"/>
        <v>938709096.2213999</v>
      </c>
      <c r="AK10" s="302">
        <f t="shared" si="45"/>
        <v>88172562.087600008</v>
      </c>
      <c r="AL10" s="302">
        <f t="shared" si="45"/>
        <v>1211705850.6461999</v>
      </c>
      <c r="AM10" s="302">
        <f t="shared" si="45"/>
        <v>389422701.95040005</v>
      </c>
      <c r="AN10" s="302">
        <f t="shared" si="45"/>
        <v>398289519.04499996</v>
      </c>
      <c r="AO10" s="302">
        <f t="shared" si="45"/>
        <v>1351597162.8600001</v>
      </c>
      <c r="AP10" s="302">
        <f t="shared" si="45"/>
        <v>112369716.2016</v>
      </c>
      <c r="AQ10" s="302">
        <f t="shared" si="45"/>
        <v>437490467.6868</v>
      </c>
      <c r="AR10" s="302">
        <f t="shared" si="45"/>
        <v>98842126.846200004</v>
      </c>
      <c r="AS10" s="302">
        <f t="shared" si="45"/>
        <v>646713356.25</v>
      </c>
      <c r="AT10" s="302">
        <f t="shared" si="45"/>
        <v>2637266393.6280003</v>
      </c>
      <c r="AU10" s="302">
        <f t="shared" si="45"/>
        <v>287921395.18259996</v>
      </c>
      <c r="AV10" s="302">
        <f t="shared" si="45"/>
        <v>77724271.809600011</v>
      </c>
      <c r="AW10" s="302">
        <f t="shared" si="45"/>
        <v>910841517.12959993</v>
      </c>
      <c r="AX10" s="302">
        <f t="shared" si="45"/>
        <v>700587950.52960014</v>
      </c>
      <c r="AY10" s="302">
        <f t="shared" si="45"/>
        <v>170729784.933</v>
      </c>
      <c r="AZ10" s="302">
        <f t="shared" si="45"/>
        <v>646192192.41720009</v>
      </c>
      <c r="BA10" s="302">
        <f t="shared" si="45"/>
        <v>66513055.0176</v>
      </c>
    </row>
    <row r="11" spans="1:53" x14ac:dyDescent="0.2">
      <c r="A11">
        <v>8</v>
      </c>
      <c r="B11" s="227" t="s">
        <v>689</v>
      </c>
      <c r="C11" s="71">
        <f t="shared" ref="C11:AG11" si="46">AverageWageRate</f>
        <v>21.745192307692307</v>
      </c>
      <c r="D11" s="71">
        <f t="shared" si="46"/>
        <v>18.83653846153846</v>
      </c>
      <c r="E11" s="71">
        <f t="shared" si="46"/>
        <v>24.802884615384617</v>
      </c>
      <c r="F11" s="71">
        <f t="shared" si="46"/>
        <v>20.995192307692307</v>
      </c>
      <c r="G11" s="71">
        <f t="shared" si="46"/>
        <v>17.471153846153847</v>
      </c>
      <c r="H11" s="71">
        <f t="shared" si="46"/>
        <v>24.956730769230766</v>
      </c>
      <c r="I11" s="71">
        <f t="shared" si="46"/>
        <v>22.841346153846153</v>
      </c>
      <c r="J11" s="71">
        <f t="shared" si="46"/>
        <v>25.39903846153846</v>
      </c>
      <c r="K11" s="71">
        <f t="shared" si="46"/>
        <v>22.798076923076923</v>
      </c>
      <c r="L11" s="71">
        <f t="shared" si="46"/>
        <v>19.591346153846153</v>
      </c>
      <c r="M11" s="71">
        <f t="shared" si="46"/>
        <v>20.47596153846154</v>
      </c>
      <c r="N11" s="71">
        <f t="shared" si="46"/>
        <v>21.442307692307693</v>
      </c>
      <c r="O11" s="71">
        <f t="shared" si="46"/>
        <v>18.519230769230766</v>
      </c>
      <c r="P11" s="71">
        <f t="shared" si="46"/>
        <v>22.379807692307693</v>
      </c>
      <c r="Q11" s="71">
        <f t="shared" si="46"/>
        <v>19.08653846153846</v>
      </c>
      <c r="R11" s="71">
        <f t="shared" si="46"/>
        <v>18.66346153846154</v>
      </c>
      <c r="S11" s="71">
        <f t="shared" si="46"/>
        <v>19.245192307692307</v>
      </c>
      <c r="T11" s="71">
        <f t="shared" si="46"/>
        <v>18.576923076923077</v>
      </c>
      <c r="U11" s="71">
        <f t="shared" si="46"/>
        <v>18.644230769230766</v>
      </c>
      <c r="V11" s="71">
        <f t="shared" si="46"/>
        <v>19.322115384615383</v>
      </c>
      <c r="W11" s="71">
        <f t="shared" si="46"/>
        <v>24.932692307692307</v>
      </c>
      <c r="X11" s="71">
        <f t="shared" si="46"/>
        <v>26.31730769230769</v>
      </c>
      <c r="Y11" s="71">
        <f t="shared" si="46"/>
        <v>21.009615384615383</v>
      </c>
      <c r="Z11" s="71">
        <f t="shared" si="46"/>
        <v>22.1875</v>
      </c>
      <c r="AA11" s="71">
        <f t="shared" si="46"/>
        <v>16.716346153846153</v>
      </c>
      <c r="AB11" s="71">
        <f t="shared" si="46"/>
        <v>19.471153846153847</v>
      </c>
      <c r="AC11" s="71">
        <f t="shared" si="46"/>
        <v>17.71153846153846</v>
      </c>
      <c r="AD11" s="71">
        <f t="shared" si="46"/>
        <v>18.817307692307693</v>
      </c>
      <c r="AE11" s="71">
        <f t="shared" si="46"/>
        <v>20.125</v>
      </c>
      <c r="AF11" s="71">
        <f t="shared" si="46"/>
        <v>21.740384615384617</v>
      </c>
      <c r="AG11" s="71">
        <f t="shared" si="46"/>
        <v>24.778846153846153</v>
      </c>
      <c r="AH11" s="71">
        <f t="shared" ref="AH11:BA11" si="47">AverageWageRate</f>
        <v>19.610576923076923</v>
      </c>
      <c r="AI11" s="71">
        <f t="shared" si="47"/>
        <v>25.389423076923077</v>
      </c>
      <c r="AJ11" s="71">
        <f t="shared" si="47"/>
        <v>19.831730769230766</v>
      </c>
      <c r="AK11" s="71">
        <f t="shared" si="47"/>
        <v>18.6875</v>
      </c>
      <c r="AL11" s="71">
        <f t="shared" si="47"/>
        <v>19.995192307692307</v>
      </c>
      <c r="AM11" s="71">
        <f t="shared" si="47"/>
        <v>18.360576923076923</v>
      </c>
      <c r="AN11" s="71">
        <f t="shared" si="47"/>
        <v>21.293269230769234</v>
      </c>
      <c r="AO11" s="71">
        <f t="shared" si="47"/>
        <v>21.1875</v>
      </c>
      <c r="AP11" s="71">
        <f t="shared" si="47"/>
        <v>22.783653846153847</v>
      </c>
      <c r="AQ11" s="71">
        <f t="shared" si="47"/>
        <v>18.53846153846154</v>
      </c>
      <c r="AR11" s="71">
        <f t="shared" si="47"/>
        <v>17.014423076923077</v>
      </c>
      <c r="AS11" s="71">
        <f t="shared" si="47"/>
        <v>18.8125</v>
      </c>
      <c r="AT11" s="71">
        <f t="shared" si="47"/>
        <v>20.716346153846153</v>
      </c>
      <c r="AU11" s="71">
        <f t="shared" si="47"/>
        <v>19.6875</v>
      </c>
      <c r="AV11" s="71">
        <f t="shared" si="47"/>
        <v>20.71153846153846</v>
      </c>
      <c r="AW11" s="71">
        <f t="shared" si="47"/>
        <v>23.495192307692307</v>
      </c>
      <c r="AX11" s="71">
        <f t="shared" si="47"/>
        <v>24.173076923076923</v>
      </c>
      <c r="AY11" s="71">
        <f t="shared" si="47"/>
        <v>17.41346153846154</v>
      </c>
      <c r="AZ11" s="71">
        <f t="shared" si="47"/>
        <v>19.91346153846154</v>
      </c>
      <c r="BA11" s="71">
        <f t="shared" si="47"/>
        <v>20.4375</v>
      </c>
    </row>
    <row r="14" spans="1:53" x14ac:dyDescent="0.2">
      <c r="A14">
        <v>1</v>
      </c>
      <c r="B14" t="s">
        <v>920</v>
      </c>
    </row>
    <row r="15" spans="1:53" x14ac:dyDescent="0.2">
      <c r="A15">
        <v>2</v>
      </c>
      <c r="B15" t="s">
        <v>683</v>
      </c>
    </row>
    <row r="16" spans="1:53" x14ac:dyDescent="0.2">
      <c r="A16">
        <v>3</v>
      </c>
      <c r="B16" s="85" t="s">
        <v>690</v>
      </c>
    </row>
    <row r="17" spans="1:3" x14ac:dyDescent="0.2">
      <c r="A17">
        <v>4</v>
      </c>
      <c r="B17" t="s">
        <v>346</v>
      </c>
    </row>
    <row r="18" spans="1:3" x14ac:dyDescent="0.2">
      <c r="A18">
        <v>5</v>
      </c>
      <c r="B18" t="s">
        <v>686</v>
      </c>
    </row>
    <row r="19" spans="1:3" x14ac:dyDescent="0.2">
      <c r="A19">
        <v>6</v>
      </c>
      <c r="B19" t="s">
        <v>687</v>
      </c>
    </row>
    <row r="20" spans="1:3" x14ac:dyDescent="0.2">
      <c r="A20">
        <v>7</v>
      </c>
      <c r="B20" t="s">
        <v>921</v>
      </c>
    </row>
    <row r="21" spans="1:3" x14ac:dyDescent="0.2">
      <c r="A21">
        <v>8</v>
      </c>
      <c r="B21" t="s">
        <v>355</v>
      </c>
    </row>
    <row r="24" spans="1:3" x14ac:dyDescent="0.2">
      <c r="C24">
        <f>C6/50</f>
        <v>4.9080000000000004</v>
      </c>
    </row>
  </sheetData>
  <phoneticPr fontId="103" type="noConversion"/>
  <pageMargins left="0.75" right="0.75" top="1" bottom="1" header="0.3" footer="0.3"/>
  <pageSetup orientation="portrait" horizontalDpi="0" verticalDpi="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27"/>
  <sheetViews>
    <sheetView workbookViewId="0">
      <selection activeCell="D8" sqref="D8"/>
    </sheetView>
  </sheetViews>
  <sheetFormatPr baseColWidth="10" defaultColWidth="11" defaultRowHeight="16" x14ac:dyDescent="0.2"/>
  <cols>
    <col min="2" max="2" width="63.83203125" customWidth="1"/>
    <col min="3" max="3" width="18" customWidth="1"/>
    <col min="4" max="4" width="20.83203125" customWidth="1"/>
    <col min="5" max="5" width="15.83203125" customWidth="1"/>
  </cols>
  <sheetData>
    <row r="1" spans="1:57" x14ac:dyDescent="0.2">
      <c r="A1">
        <v>2011</v>
      </c>
      <c r="B1" s="59" t="s">
        <v>252</v>
      </c>
      <c r="D1" s="6"/>
      <c r="E1" s="3">
        <v>1</v>
      </c>
      <c r="F1" s="3">
        <f>E1+1</f>
        <v>2</v>
      </c>
      <c r="G1" s="3">
        <f t="shared" ref="G1:L1" si="0">F1+1</f>
        <v>3</v>
      </c>
      <c r="H1" s="3">
        <f t="shared" si="0"/>
        <v>4</v>
      </c>
      <c r="I1" s="3">
        <f t="shared" si="0"/>
        <v>5</v>
      </c>
      <c r="J1" s="3">
        <f t="shared" si="0"/>
        <v>6</v>
      </c>
      <c r="K1" s="3">
        <f t="shared" si="0"/>
        <v>7</v>
      </c>
      <c r="L1" s="3">
        <f t="shared" si="0"/>
        <v>8</v>
      </c>
      <c r="M1" s="3">
        <f t="shared" ref="M1" si="1">L1+1</f>
        <v>9</v>
      </c>
      <c r="N1" s="3">
        <f t="shared" ref="N1" si="2">M1+1</f>
        <v>10</v>
      </c>
      <c r="O1" s="3">
        <f t="shared" ref="O1" si="3">N1+1</f>
        <v>11</v>
      </c>
      <c r="P1" s="3">
        <f t="shared" ref="P1" si="4">O1+1</f>
        <v>12</v>
      </c>
      <c r="Q1" s="3">
        <f t="shared" ref="Q1" si="5">P1+1</f>
        <v>13</v>
      </c>
      <c r="R1" s="3">
        <f t="shared" ref="R1" si="6">Q1+1</f>
        <v>14</v>
      </c>
      <c r="S1" s="3">
        <f t="shared" ref="S1" si="7">R1+1</f>
        <v>15</v>
      </c>
      <c r="T1" s="3">
        <f t="shared" ref="T1" si="8">S1+1</f>
        <v>16</v>
      </c>
      <c r="U1" s="3">
        <f t="shared" ref="U1" si="9">T1+1</f>
        <v>17</v>
      </c>
      <c r="V1" s="3">
        <f t="shared" ref="V1" si="10">U1+1</f>
        <v>18</v>
      </c>
      <c r="W1" s="3">
        <f t="shared" ref="W1" si="11">V1+1</f>
        <v>19</v>
      </c>
      <c r="X1" s="3">
        <f t="shared" ref="X1" si="12">W1+1</f>
        <v>20</v>
      </c>
      <c r="Y1" s="3">
        <f t="shared" ref="Y1" si="13">X1+1</f>
        <v>21</v>
      </c>
      <c r="Z1" s="3">
        <f t="shared" ref="Z1" si="14">Y1+1</f>
        <v>22</v>
      </c>
      <c r="AA1" s="3">
        <f t="shared" ref="AA1" si="15">Z1+1</f>
        <v>23</v>
      </c>
      <c r="AB1" s="3">
        <f t="shared" ref="AB1" si="16">AA1+1</f>
        <v>24</v>
      </c>
      <c r="AC1" s="3">
        <f t="shared" ref="AC1" si="17">AB1+1</f>
        <v>25</v>
      </c>
      <c r="AD1" s="3">
        <f t="shared" ref="AD1" si="18">AC1+1</f>
        <v>26</v>
      </c>
      <c r="AE1" s="3">
        <f t="shared" ref="AE1" si="19">AD1+1</f>
        <v>27</v>
      </c>
      <c r="AF1" s="3">
        <f t="shared" ref="AF1" si="20">AE1+1</f>
        <v>28</v>
      </c>
      <c r="AG1" s="3">
        <f t="shared" ref="AG1" si="21">AF1+1</f>
        <v>29</v>
      </c>
      <c r="AH1" s="3">
        <f t="shared" ref="AH1" si="22">AG1+1</f>
        <v>30</v>
      </c>
      <c r="AI1" s="3">
        <f t="shared" ref="AI1" si="23">AH1+1</f>
        <v>31</v>
      </c>
      <c r="AJ1" s="3">
        <f t="shared" ref="AJ1" si="24">AI1+1</f>
        <v>32</v>
      </c>
      <c r="AK1" s="3">
        <f t="shared" ref="AK1" si="25">AJ1+1</f>
        <v>33</v>
      </c>
      <c r="AL1" s="3">
        <f t="shared" ref="AL1" si="26">AK1+1</f>
        <v>34</v>
      </c>
      <c r="AM1" s="3">
        <f t="shared" ref="AM1" si="27">AL1+1</f>
        <v>35</v>
      </c>
      <c r="AN1" s="3">
        <f t="shared" ref="AN1" si="28">AM1+1</f>
        <v>36</v>
      </c>
      <c r="AO1" s="3">
        <f t="shared" ref="AO1" si="29">AN1+1</f>
        <v>37</v>
      </c>
      <c r="AP1" s="3">
        <f t="shared" ref="AP1" si="30">AO1+1</f>
        <v>38</v>
      </c>
      <c r="AQ1" s="3">
        <f t="shared" ref="AQ1" si="31">AP1+1</f>
        <v>39</v>
      </c>
      <c r="AR1" s="3">
        <f t="shared" ref="AR1" si="32">AQ1+1</f>
        <v>40</v>
      </c>
      <c r="AS1" s="3">
        <f t="shared" ref="AS1" si="33">AR1+1</f>
        <v>41</v>
      </c>
      <c r="AT1" s="3">
        <f t="shared" ref="AT1" si="34">AS1+1</f>
        <v>42</v>
      </c>
      <c r="AU1" s="3">
        <f t="shared" ref="AU1" si="35">AT1+1</f>
        <v>43</v>
      </c>
      <c r="AV1" s="3">
        <f t="shared" ref="AV1" si="36">AU1+1</f>
        <v>44</v>
      </c>
      <c r="AW1" s="3">
        <f t="shared" ref="AW1" si="37">AV1+1</f>
        <v>45</v>
      </c>
      <c r="AX1" s="3">
        <f t="shared" ref="AX1" si="38">AW1+1</f>
        <v>46</v>
      </c>
      <c r="AY1" s="3">
        <f t="shared" ref="AY1" si="39">AX1+1</f>
        <v>47</v>
      </c>
      <c r="AZ1" s="3">
        <f t="shared" ref="AZ1" si="40">AY1+1</f>
        <v>48</v>
      </c>
      <c r="BA1" s="3">
        <f t="shared" ref="BA1" si="41">AZ1+1</f>
        <v>49</v>
      </c>
      <c r="BB1" s="3">
        <f t="shared" ref="BB1" si="42">BA1+1</f>
        <v>50</v>
      </c>
      <c r="BC1" s="3"/>
      <c r="BD1" s="19"/>
      <c r="BE1" s="20"/>
    </row>
    <row r="2" spans="1:57" x14ac:dyDescent="0.2">
      <c r="D2" s="24" t="s">
        <v>95</v>
      </c>
      <c r="E2" s="25" t="s">
        <v>144</v>
      </c>
      <c r="F2" s="25" t="s">
        <v>145</v>
      </c>
      <c r="G2" s="25" t="s">
        <v>146</v>
      </c>
      <c r="H2" s="25" t="s">
        <v>147</v>
      </c>
      <c r="I2" s="25" t="s">
        <v>148</v>
      </c>
      <c r="J2" s="25" t="s">
        <v>149</v>
      </c>
      <c r="K2" s="25" t="s">
        <v>150</v>
      </c>
      <c r="L2" s="25" t="s">
        <v>151</v>
      </c>
      <c r="M2" s="25" t="s">
        <v>152</v>
      </c>
      <c r="N2" s="25" t="s">
        <v>153</v>
      </c>
      <c r="O2" s="25" t="s">
        <v>154</v>
      </c>
      <c r="P2" s="25" t="s">
        <v>155</v>
      </c>
      <c r="Q2" s="25" t="s">
        <v>156</v>
      </c>
      <c r="R2" s="25" t="s">
        <v>2</v>
      </c>
      <c r="S2" s="25" t="s">
        <v>3</v>
      </c>
      <c r="T2" s="25" t="s">
        <v>4</v>
      </c>
      <c r="U2" s="25" t="s">
        <v>5</v>
      </c>
      <c r="V2" s="25" t="s">
        <v>6</v>
      </c>
      <c r="W2" s="25" t="s">
        <v>7</v>
      </c>
      <c r="X2" s="25" t="s">
        <v>8</v>
      </c>
      <c r="Y2" s="25" t="s">
        <v>9</v>
      </c>
      <c r="Z2" s="25" t="s">
        <v>10</v>
      </c>
      <c r="AA2" s="25" t="s">
        <v>11</v>
      </c>
      <c r="AB2" s="25" t="s">
        <v>12</v>
      </c>
      <c r="AC2" s="25" t="s">
        <v>13</v>
      </c>
      <c r="AD2" s="25" t="s">
        <v>14</v>
      </c>
      <c r="AE2" s="25" t="s">
        <v>15</v>
      </c>
      <c r="AF2" s="25" t="s">
        <v>16</v>
      </c>
      <c r="AG2" s="25" t="s">
        <v>17</v>
      </c>
      <c r="AH2" s="25" t="s">
        <v>18</v>
      </c>
      <c r="AI2" s="25" t="s">
        <v>19</v>
      </c>
      <c r="AJ2" s="25" t="s">
        <v>20</v>
      </c>
      <c r="AK2" s="25" t="s">
        <v>21</v>
      </c>
      <c r="AL2" s="25" t="s">
        <v>22</v>
      </c>
      <c r="AM2" s="25" t="s">
        <v>23</v>
      </c>
      <c r="AN2" s="25" t="s">
        <v>24</v>
      </c>
      <c r="AO2" s="25" t="s">
        <v>25</v>
      </c>
      <c r="AP2" s="25" t="s">
        <v>26</v>
      </c>
      <c r="AQ2" s="25" t="s">
        <v>27</v>
      </c>
      <c r="AR2" s="25" t="s">
        <v>28</v>
      </c>
      <c r="AS2" s="25" t="s">
        <v>29</v>
      </c>
      <c r="AT2" s="25" t="s">
        <v>30</v>
      </c>
      <c r="AU2" s="25" t="s">
        <v>31</v>
      </c>
      <c r="AV2" s="25" t="s">
        <v>32</v>
      </c>
      <c r="AW2" s="25" t="s">
        <v>33</v>
      </c>
      <c r="AX2" s="25" t="s">
        <v>34</v>
      </c>
      <c r="AY2" s="25" t="s">
        <v>35</v>
      </c>
      <c r="AZ2" s="25" t="s">
        <v>36</v>
      </c>
      <c r="BA2" s="25" t="s">
        <v>37</v>
      </c>
      <c r="BB2" s="25" t="s">
        <v>38</v>
      </c>
      <c r="BC2" s="26"/>
      <c r="BD2" s="19"/>
      <c r="BE2" s="20"/>
    </row>
    <row r="3" spans="1:57" x14ac:dyDescent="0.2">
      <c r="D3" s="24" t="s">
        <v>96</v>
      </c>
      <c r="E3" s="26" t="s">
        <v>39</v>
      </c>
      <c r="F3" s="26" t="s">
        <v>40</v>
      </c>
      <c r="G3" s="26" t="s">
        <v>41</v>
      </c>
      <c r="H3" s="26" t="s">
        <v>42</v>
      </c>
      <c r="I3" s="26" t="s">
        <v>43</v>
      </c>
      <c r="J3" s="26" t="s">
        <v>44</v>
      </c>
      <c r="K3" s="26" t="s">
        <v>45</v>
      </c>
      <c r="L3" s="26" t="s">
        <v>46</v>
      </c>
      <c r="M3" s="26" t="s">
        <v>47</v>
      </c>
      <c r="N3" s="26" t="s">
        <v>48</v>
      </c>
      <c r="O3" s="26" t="s">
        <v>49</v>
      </c>
      <c r="P3" s="26" t="s">
        <v>50</v>
      </c>
      <c r="Q3" s="26" t="s">
        <v>51</v>
      </c>
      <c r="R3" s="26" t="s">
        <v>52</v>
      </c>
      <c r="S3" s="26" t="s">
        <v>53</v>
      </c>
      <c r="T3" s="26" t="s">
        <v>54</v>
      </c>
      <c r="U3" s="26" t="s">
        <v>55</v>
      </c>
      <c r="V3" s="26" t="s">
        <v>56</v>
      </c>
      <c r="W3" s="26" t="s">
        <v>57</v>
      </c>
      <c r="X3" s="26" t="s">
        <v>58</v>
      </c>
      <c r="Y3" s="26" t="s">
        <v>59</v>
      </c>
      <c r="Z3" s="26" t="s">
        <v>60</v>
      </c>
      <c r="AA3" s="26" t="s">
        <v>61</v>
      </c>
      <c r="AB3" s="26" t="s">
        <v>62</v>
      </c>
      <c r="AC3" s="26" t="s">
        <v>63</v>
      </c>
      <c r="AD3" s="26" t="s">
        <v>64</v>
      </c>
      <c r="AE3" s="26" t="s">
        <v>65</v>
      </c>
      <c r="AF3" s="26" t="s">
        <v>66</v>
      </c>
      <c r="AG3" s="26" t="s">
        <v>67</v>
      </c>
      <c r="AH3" s="26" t="s">
        <v>68</v>
      </c>
      <c r="AI3" s="26" t="s">
        <v>69</v>
      </c>
      <c r="AJ3" s="26" t="s">
        <v>70</v>
      </c>
      <c r="AK3" s="26" t="s">
        <v>71</v>
      </c>
      <c r="AL3" s="26" t="s">
        <v>72</v>
      </c>
      <c r="AM3" s="26" t="s">
        <v>73</v>
      </c>
      <c r="AN3" s="26" t="s">
        <v>74</v>
      </c>
      <c r="AO3" s="26" t="s">
        <v>75</v>
      </c>
      <c r="AP3" s="26" t="s">
        <v>76</v>
      </c>
      <c r="AQ3" s="26" t="s">
        <v>77</v>
      </c>
      <c r="AR3" s="26" t="s">
        <v>78</v>
      </c>
      <c r="AS3" s="26" t="s">
        <v>79</v>
      </c>
      <c r="AT3" s="26" t="s">
        <v>80</v>
      </c>
      <c r="AU3" s="26" t="s">
        <v>81</v>
      </c>
      <c r="AV3" s="26" t="s">
        <v>82</v>
      </c>
      <c r="AW3" s="26" t="s">
        <v>83</v>
      </c>
      <c r="AX3" s="26" t="s">
        <v>84</v>
      </c>
      <c r="AY3" s="26" t="s">
        <v>85</v>
      </c>
      <c r="AZ3" s="26" t="s">
        <v>86</v>
      </c>
      <c r="BA3" s="26" t="s">
        <v>87</v>
      </c>
      <c r="BB3" s="26" t="s">
        <v>88</v>
      </c>
    </row>
    <row r="4" spans="1:57" x14ac:dyDescent="0.2">
      <c r="A4">
        <v>1</v>
      </c>
      <c r="B4" s="243" t="s">
        <v>253</v>
      </c>
      <c r="D4" s="344">
        <f>SUM(E4:BB4)*IF(HighEdCase="Original",1,IF(HighEdCase="More Higher Ed",D11/D5,IF(HighEdCase="More Wages",E11/D8)))</f>
        <v>1225.95911264957</v>
      </c>
      <c r="E4" s="342">
        <f>E7*$D8/1000000</f>
        <v>14.882163769262439</v>
      </c>
      <c r="F4" s="342">
        <f t="shared" ref="F4:AI4" si="43">F7*$D8/1000000</f>
        <v>2.5208131302076797</v>
      </c>
      <c r="G4" s="342">
        <f t="shared" si="43"/>
        <v>23.412164394382678</v>
      </c>
      <c r="H4" s="342">
        <f t="shared" si="43"/>
        <v>8.2454803069770595</v>
      </c>
      <c r="I4" s="342">
        <f t="shared" si="43"/>
        <v>154.79763390263614</v>
      </c>
      <c r="J4" s="342">
        <f t="shared" si="43"/>
        <v>25.982007110120197</v>
      </c>
      <c r="K4" s="342">
        <f t="shared" si="43"/>
        <v>18.494094284610359</v>
      </c>
      <c r="L4" s="342">
        <f t="shared" si="43"/>
        <v>3.6784992646655996</v>
      </c>
      <c r="M4" s="342">
        <f t="shared" si="43"/>
        <v>71.542340257533482</v>
      </c>
      <c r="N4" s="342">
        <f t="shared" si="43"/>
        <v>36.393063363441357</v>
      </c>
      <c r="O4" s="342">
        <f t="shared" si="43"/>
        <v>5.7140891162779193</v>
      </c>
      <c r="P4" s="342">
        <f t="shared" si="43"/>
        <v>5.2587545470992003</v>
      </c>
      <c r="Q4" s="342">
        <f t="shared" si="43"/>
        <v>55.212742274536396</v>
      </c>
      <c r="R4" s="342">
        <f t="shared" si="43"/>
        <v>20.456245889448198</v>
      </c>
      <c r="S4" s="342">
        <f t="shared" si="43"/>
        <v>10.931209216843079</v>
      </c>
      <c r="T4" s="342">
        <f t="shared" si="43"/>
        <v>11.651483089476438</v>
      </c>
      <c r="U4" s="342">
        <f t="shared" si="43"/>
        <v>12.887431585121</v>
      </c>
      <c r="V4" s="342">
        <f t="shared" si="43"/>
        <v>13.109635980651818</v>
      </c>
      <c r="W4" s="342">
        <f t="shared" si="43"/>
        <v>5.5945922141320787</v>
      </c>
      <c r="X4" s="342">
        <f t="shared" si="43"/>
        <v>30.198314017832573</v>
      </c>
      <c r="Y4" s="342">
        <f t="shared" si="43"/>
        <v>36.790743729399679</v>
      </c>
      <c r="Z4" s="342">
        <f t="shared" si="43"/>
        <v>35.250607248445441</v>
      </c>
      <c r="AA4" s="342">
        <f t="shared" si="43"/>
        <v>24.112620013476235</v>
      </c>
      <c r="AB4" s="342">
        <f t="shared" si="43"/>
        <v>7.9152667118078393</v>
      </c>
      <c r="AC4" s="342">
        <f t="shared" si="43"/>
        <v>21.866533235074439</v>
      </c>
      <c r="AD4" s="342">
        <f t="shared" si="43"/>
        <v>3.9889322058627594</v>
      </c>
      <c r="AE4" s="342">
        <f t="shared" si="43"/>
        <v>6.9747354491644797</v>
      </c>
      <c r="AF4" s="342">
        <f t="shared" si="43"/>
        <v>8.5161453411599997</v>
      </c>
      <c r="AG4" s="342">
        <f t="shared" si="43"/>
        <v>6.3817927739358797</v>
      </c>
      <c r="AH4" s="342">
        <f t="shared" si="43"/>
        <v>44.300784433481134</v>
      </c>
      <c r="AI4" s="342">
        <f t="shared" si="43"/>
        <v>7.2455269090201586</v>
      </c>
      <c r="AJ4" s="342">
        <f t="shared" ref="AJ4:BB4" si="44">AJ7*$D8/1000000</f>
        <v>90.74986140600015</v>
      </c>
      <c r="AK4" s="342">
        <f t="shared" si="44"/>
        <v>35.978272560728577</v>
      </c>
      <c r="AL4" s="342">
        <f t="shared" si="44"/>
        <v>2.4633492656550997</v>
      </c>
      <c r="AM4" s="342">
        <f t="shared" si="44"/>
        <v>40.004378658735916</v>
      </c>
      <c r="AN4" s="342">
        <f t="shared" si="44"/>
        <v>12.282427537048477</v>
      </c>
      <c r="AO4" s="342">
        <f t="shared" si="44"/>
        <v>16.195881547159715</v>
      </c>
      <c r="AP4" s="342">
        <f t="shared" si="44"/>
        <v>49.175039844296997</v>
      </c>
      <c r="AQ4" s="342">
        <f t="shared" si="44"/>
        <v>4.6297153672287594</v>
      </c>
      <c r="AR4" s="342">
        <f t="shared" si="44"/>
        <v>15.667633536735117</v>
      </c>
      <c r="AS4" s="342">
        <f t="shared" si="44"/>
        <v>2.9549967198674398</v>
      </c>
      <c r="AT4" s="342">
        <f t="shared" si="44"/>
        <v>21.181922604693117</v>
      </c>
      <c r="AU4" s="342">
        <f t="shared" si="44"/>
        <v>88.693163127798243</v>
      </c>
      <c r="AV4" s="342">
        <f t="shared" si="44"/>
        <v>9.9856090977429588</v>
      </c>
      <c r="AW4" s="342">
        <f t="shared" si="44"/>
        <v>3.2158562925700798</v>
      </c>
      <c r="AX4" s="342">
        <f t="shared" si="44"/>
        <v>39.752592223303438</v>
      </c>
      <c r="AY4" s="342">
        <f t="shared" si="44"/>
        <v>30.558539633952439</v>
      </c>
      <c r="AZ4" s="342">
        <f t="shared" si="44"/>
        <v>5.0040788179238005</v>
      </c>
      <c r="BA4" s="342">
        <f t="shared" si="44"/>
        <v>21.2203233420997</v>
      </c>
      <c r="BB4" s="342">
        <f t="shared" si="44"/>
        <v>1.9390252999457596</v>
      </c>
    </row>
    <row r="5" spans="1:57" x14ac:dyDescent="0.2">
      <c r="A5">
        <v>2</v>
      </c>
      <c r="B5" s="247" t="s">
        <v>254</v>
      </c>
      <c r="C5" s="247"/>
      <c r="D5" s="343">
        <f>AVERAGE(E5:BB5)</f>
        <v>0.27856000000000003</v>
      </c>
      <c r="E5" s="343">
        <v>0.223</v>
      </c>
      <c r="F5" s="343">
        <v>0.26400000000000001</v>
      </c>
      <c r="G5" s="343">
        <v>0.26600000000000001</v>
      </c>
      <c r="H5" s="343">
        <v>0.20300000000000001</v>
      </c>
      <c r="I5" s="343">
        <v>0.30299999999999999</v>
      </c>
      <c r="J5" s="343">
        <v>0.36699999999999999</v>
      </c>
      <c r="K5" s="343">
        <v>0.36199999999999999</v>
      </c>
      <c r="L5" s="343">
        <v>0.28799999999999998</v>
      </c>
      <c r="M5" s="343">
        <v>0.25800000000000001</v>
      </c>
      <c r="N5" s="343">
        <v>0.27600000000000002</v>
      </c>
      <c r="O5" s="343">
        <v>0.29099999999999998</v>
      </c>
      <c r="P5" s="343">
        <v>0.252</v>
      </c>
      <c r="Q5" s="343">
        <v>0.31</v>
      </c>
      <c r="R5" s="343">
        <v>0.23</v>
      </c>
      <c r="S5" s="343">
        <v>0.25800000000000001</v>
      </c>
      <c r="T5" s="343">
        <v>0.30099999999999999</v>
      </c>
      <c r="U5" s="343">
        <v>0.21099999999999999</v>
      </c>
      <c r="V5" s="343">
        <v>0.21099999999999999</v>
      </c>
      <c r="W5" s="343">
        <v>0.28399999999999997</v>
      </c>
      <c r="X5" s="343">
        <v>0.36899999999999999</v>
      </c>
      <c r="Y5" s="343">
        <v>0.39100000000000001</v>
      </c>
      <c r="Z5" s="343">
        <v>0.25600000000000001</v>
      </c>
      <c r="AA5" s="343">
        <v>0.32400000000000001</v>
      </c>
      <c r="AB5" s="343">
        <v>0.19800000000000001</v>
      </c>
      <c r="AC5" s="343">
        <v>0.26100000000000001</v>
      </c>
      <c r="AD5" s="343">
        <v>0.28199999999999997</v>
      </c>
      <c r="AE5" s="343">
        <v>0.27900000000000003</v>
      </c>
      <c r="AF5" s="343">
        <v>0.22500000000000001</v>
      </c>
      <c r="AG5" s="343">
        <v>0.33400000000000002</v>
      </c>
      <c r="AH5" s="343">
        <v>0.35299999999999998</v>
      </c>
      <c r="AI5" s="343">
        <v>0.25600000000000001</v>
      </c>
      <c r="AJ5" s="343">
        <v>0.32900000000000001</v>
      </c>
      <c r="AK5" s="343">
        <v>0.26900000000000002</v>
      </c>
      <c r="AL5" s="343">
        <v>0.26300000000000001</v>
      </c>
      <c r="AM5" s="343">
        <v>0.247</v>
      </c>
      <c r="AN5" s="343">
        <v>0.23799999999999999</v>
      </c>
      <c r="AO5" s="343">
        <v>0.29299999999999998</v>
      </c>
      <c r="AP5" s="343">
        <v>0.27</v>
      </c>
      <c r="AQ5" s="343">
        <v>0.311</v>
      </c>
      <c r="AR5" s="343">
        <v>0.24099999999999999</v>
      </c>
      <c r="AS5" s="343">
        <v>0.26300000000000001</v>
      </c>
      <c r="AT5" s="343">
        <v>0.23599999999999999</v>
      </c>
      <c r="AU5" s="343">
        <v>0.26400000000000001</v>
      </c>
      <c r="AV5" s="343">
        <v>0.29699999999999999</v>
      </c>
      <c r="AW5" s="343">
        <v>0.35399999999999998</v>
      </c>
      <c r="AX5" s="343">
        <v>0.35099999999999998</v>
      </c>
      <c r="AY5" s="343">
        <v>0.31900000000000001</v>
      </c>
      <c r="AZ5" s="343">
        <v>0.185</v>
      </c>
      <c r="BA5" s="343">
        <v>0.26500000000000001</v>
      </c>
      <c r="BB5" s="343">
        <v>0.247</v>
      </c>
    </row>
    <row r="6" spans="1:57" x14ac:dyDescent="0.2">
      <c r="A6">
        <v>4</v>
      </c>
      <c r="B6" s="247" t="s">
        <v>258</v>
      </c>
      <c r="C6" s="247"/>
      <c r="D6" s="247"/>
      <c r="E6" s="242">
        <v>3193078</v>
      </c>
      <c r="F6" s="242">
        <v>456862</v>
      </c>
      <c r="G6" s="242">
        <v>4211223</v>
      </c>
      <c r="H6" s="242">
        <v>1943427</v>
      </c>
      <c r="I6" s="242">
        <v>24443872</v>
      </c>
      <c r="J6" s="242">
        <v>3387310</v>
      </c>
      <c r="K6" s="242">
        <v>2444403</v>
      </c>
      <c r="L6" s="242">
        <v>611120</v>
      </c>
      <c r="M6" s="242">
        <v>13267581</v>
      </c>
      <c r="N6" s="242">
        <v>6308961</v>
      </c>
      <c r="O6" s="242">
        <v>939512</v>
      </c>
      <c r="P6" s="242">
        <v>998460</v>
      </c>
      <c r="Q6" s="242">
        <v>8521694</v>
      </c>
      <c r="R6" s="242">
        <v>4255459</v>
      </c>
      <c r="S6" s="242">
        <v>2027201</v>
      </c>
      <c r="T6" s="242">
        <v>1852094</v>
      </c>
      <c r="U6" s="242">
        <v>2922350</v>
      </c>
      <c r="V6" s="242">
        <v>2972737</v>
      </c>
      <c r="W6" s="242">
        <v>942537</v>
      </c>
      <c r="X6" s="242">
        <v>3915657</v>
      </c>
      <c r="Y6" s="242">
        <v>4502048</v>
      </c>
      <c r="Z6" s="242">
        <v>6588324</v>
      </c>
      <c r="AA6" s="242">
        <v>3560801</v>
      </c>
      <c r="AB6" s="242">
        <v>1912708</v>
      </c>
      <c r="AC6" s="242">
        <v>4008554</v>
      </c>
      <c r="AD6" s="242">
        <v>676793</v>
      </c>
      <c r="AE6" s="242">
        <v>1196112</v>
      </c>
      <c r="AF6" s="242">
        <v>1810960</v>
      </c>
      <c r="AG6" s="242">
        <v>914207</v>
      </c>
      <c r="AH6" s="242">
        <v>6004613</v>
      </c>
      <c r="AI6" s="242">
        <v>1354186</v>
      </c>
      <c r="AJ6" s="242">
        <v>13197704</v>
      </c>
      <c r="AK6" s="242">
        <v>6399357</v>
      </c>
      <c r="AL6" s="242">
        <v>448145</v>
      </c>
      <c r="AM6" s="242">
        <v>7749236</v>
      </c>
      <c r="AN6" s="242">
        <v>2469196</v>
      </c>
      <c r="AO6" s="242">
        <v>2644754</v>
      </c>
      <c r="AP6" s="242">
        <v>8714235</v>
      </c>
      <c r="AQ6" s="242">
        <v>712266</v>
      </c>
      <c r="AR6" s="242">
        <v>3110532</v>
      </c>
      <c r="AS6" s="242">
        <v>537588</v>
      </c>
      <c r="AT6" s="242">
        <v>4294392</v>
      </c>
      <c r="AU6" s="242">
        <v>16074391</v>
      </c>
      <c r="AV6" s="242">
        <v>1608668</v>
      </c>
      <c r="AW6" s="242">
        <v>434652</v>
      </c>
      <c r="AX6" s="242">
        <v>5418844</v>
      </c>
      <c r="AY6" s="242">
        <v>4583426</v>
      </c>
      <c r="AZ6" s="242">
        <v>1294198</v>
      </c>
      <c r="BA6" s="242">
        <v>3831373</v>
      </c>
      <c r="BB6" s="242">
        <v>375608</v>
      </c>
    </row>
    <row r="7" spans="1:57" x14ac:dyDescent="0.2">
      <c r="A7">
        <v>6</v>
      </c>
      <c r="B7" t="s">
        <v>874</v>
      </c>
      <c r="E7" s="60">
        <f t="shared" ref="E7:AJ7" si="45">E6*E5/1000</f>
        <v>712.05639399999995</v>
      </c>
      <c r="F7" s="60">
        <f t="shared" si="45"/>
        <v>120.61156800000001</v>
      </c>
      <c r="G7" s="60">
        <f t="shared" si="45"/>
        <v>1120.1853180000001</v>
      </c>
      <c r="H7" s="60">
        <f t="shared" si="45"/>
        <v>394.51568100000003</v>
      </c>
      <c r="I7" s="60">
        <f t="shared" si="45"/>
        <v>7406.4932159999998</v>
      </c>
      <c r="J7" s="60">
        <f t="shared" si="45"/>
        <v>1243.1427699999999</v>
      </c>
      <c r="K7" s="60">
        <f t="shared" si="45"/>
        <v>884.87388599999997</v>
      </c>
      <c r="L7" s="60">
        <f t="shared" si="45"/>
        <v>176.00255999999999</v>
      </c>
      <c r="M7" s="60">
        <f t="shared" si="45"/>
        <v>3423.0358980000001</v>
      </c>
      <c r="N7" s="60">
        <f t="shared" si="45"/>
        <v>1741.273236</v>
      </c>
      <c r="O7" s="60">
        <f t="shared" si="45"/>
        <v>273.39799199999999</v>
      </c>
      <c r="P7" s="60">
        <f t="shared" si="45"/>
        <v>251.61192000000003</v>
      </c>
      <c r="Q7" s="60">
        <f t="shared" si="45"/>
        <v>2641.72514</v>
      </c>
      <c r="R7" s="60">
        <f t="shared" si="45"/>
        <v>978.75557000000003</v>
      </c>
      <c r="S7" s="60">
        <f t="shared" si="45"/>
        <v>523.01785800000005</v>
      </c>
      <c r="T7" s="60">
        <f t="shared" si="45"/>
        <v>557.48029399999996</v>
      </c>
      <c r="U7" s="60">
        <f t="shared" si="45"/>
        <v>616.61585000000002</v>
      </c>
      <c r="V7" s="60">
        <f t="shared" si="45"/>
        <v>627.24750699999993</v>
      </c>
      <c r="W7" s="60">
        <f t="shared" si="45"/>
        <v>267.68050799999997</v>
      </c>
      <c r="X7" s="60">
        <f t="shared" si="45"/>
        <v>1444.8774329999999</v>
      </c>
      <c r="Y7" s="60">
        <f t="shared" si="45"/>
        <v>1760.3007680000001</v>
      </c>
      <c r="Z7" s="60">
        <f t="shared" si="45"/>
        <v>1686.6109440000002</v>
      </c>
      <c r="AA7" s="60">
        <f t="shared" si="45"/>
        <v>1153.6995239999999</v>
      </c>
      <c r="AB7" s="60">
        <f t="shared" si="45"/>
        <v>378.716184</v>
      </c>
      <c r="AC7" s="60">
        <f t="shared" si="45"/>
        <v>1046.2325940000001</v>
      </c>
      <c r="AD7" s="60">
        <f t="shared" si="45"/>
        <v>190.855626</v>
      </c>
      <c r="AE7" s="60">
        <f t="shared" si="45"/>
        <v>333.71524800000003</v>
      </c>
      <c r="AF7" s="60">
        <f t="shared" si="45"/>
        <v>407.46600000000001</v>
      </c>
      <c r="AG7" s="60">
        <f t="shared" si="45"/>
        <v>305.34513800000002</v>
      </c>
      <c r="AH7" s="60">
        <f t="shared" si="45"/>
        <v>2119.628389</v>
      </c>
      <c r="AI7" s="60">
        <f t="shared" si="45"/>
        <v>346.67161599999997</v>
      </c>
      <c r="AJ7" s="60">
        <f t="shared" si="45"/>
        <v>4342.0446160000001</v>
      </c>
      <c r="AK7" s="60">
        <f t="shared" ref="AK7:BB7" si="46">AK6*AK5/1000</f>
        <v>1721.4270330000002</v>
      </c>
      <c r="AL7" s="60">
        <f t="shared" si="46"/>
        <v>117.86213500000001</v>
      </c>
      <c r="AM7" s="60">
        <f t="shared" si="46"/>
        <v>1914.0612919999999</v>
      </c>
      <c r="AN7" s="60">
        <f t="shared" si="46"/>
        <v>587.66864799999996</v>
      </c>
      <c r="AO7" s="60">
        <f t="shared" si="46"/>
        <v>774.91292199999987</v>
      </c>
      <c r="AP7" s="60">
        <f t="shared" si="46"/>
        <v>2352.8434500000003</v>
      </c>
      <c r="AQ7" s="60">
        <f t="shared" si="46"/>
        <v>221.514726</v>
      </c>
      <c r="AR7" s="60">
        <f t="shared" si="46"/>
        <v>749.63821199999995</v>
      </c>
      <c r="AS7" s="60">
        <f t="shared" si="46"/>
        <v>141.38564400000001</v>
      </c>
      <c r="AT7" s="60">
        <f t="shared" si="46"/>
        <v>1013.476512</v>
      </c>
      <c r="AU7" s="60">
        <f t="shared" si="46"/>
        <v>4243.6392240000005</v>
      </c>
      <c r="AV7" s="60">
        <f t="shared" si="46"/>
        <v>477.77439599999997</v>
      </c>
      <c r="AW7" s="60">
        <f t="shared" si="46"/>
        <v>153.86680799999999</v>
      </c>
      <c r="AX7" s="60">
        <f t="shared" si="46"/>
        <v>1902.014244</v>
      </c>
      <c r="AY7" s="60">
        <f t="shared" si="46"/>
        <v>1462.1128940000001</v>
      </c>
      <c r="AZ7" s="60">
        <f t="shared" si="46"/>
        <v>239.42663000000002</v>
      </c>
      <c r="BA7" s="60">
        <f t="shared" si="46"/>
        <v>1015.3138450000001</v>
      </c>
      <c r="BB7" s="60">
        <f t="shared" si="46"/>
        <v>92.775175999999988</v>
      </c>
    </row>
    <row r="8" spans="1:57" x14ac:dyDescent="0.2">
      <c r="A8">
        <v>7</v>
      </c>
      <c r="B8" s="227" t="s">
        <v>875</v>
      </c>
      <c r="D8" s="338">
        <v>20900.259999999998</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row>
    <row r="9" spans="1:57" x14ac:dyDescent="0.2">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row>
    <row r="10" spans="1:57" x14ac:dyDescent="0.2">
      <c r="B10" s="412" t="s">
        <v>987</v>
      </c>
      <c r="C10" s="404" t="s">
        <v>949</v>
      </c>
      <c r="D10" s="412" t="s">
        <v>1041</v>
      </c>
      <c r="E10" s="412" t="s">
        <v>1042</v>
      </c>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row>
    <row r="11" spans="1:57" x14ac:dyDescent="0.2">
      <c r="D11" s="454">
        <v>0.4</v>
      </c>
      <c r="E11" s="217">
        <v>30000</v>
      </c>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row>
    <row r="12" spans="1:57" x14ac:dyDescent="0.2">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row>
    <row r="13" spans="1:57" x14ac:dyDescent="0.2">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row>
    <row r="14" spans="1:57" x14ac:dyDescent="0.2">
      <c r="B14" s="59" t="s">
        <v>579</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row>
    <row r="15" spans="1:57" x14ac:dyDescent="0.2">
      <c r="A15">
        <v>1</v>
      </c>
      <c r="B15" s="85" t="s">
        <v>625</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row>
    <row r="16" spans="1:57" x14ac:dyDescent="0.2">
      <c r="A16">
        <v>2</v>
      </c>
      <c r="B16" s="61" t="s">
        <v>255</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row>
    <row r="17" spans="1:54" x14ac:dyDescent="0.2">
      <c r="A17">
        <v>3</v>
      </c>
      <c r="B17" t="s">
        <v>257</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row>
    <row r="18" spans="1:54" x14ac:dyDescent="0.2">
      <c r="A18">
        <v>4</v>
      </c>
      <c r="B18" s="61" t="s">
        <v>873</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row>
    <row r="19" spans="1:54" x14ac:dyDescent="0.2">
      <c r="A19">
        <v>5</v>
      </c>
      <c r="B19" t="s">
        <v>652</v>
      </c>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row>
    <row r="20" spans="1:54" x14ac:dyDescent="0.2">
      <c r="A20">
        <v>6</v>
      </c>
      <c r="B20" t="s">
        <v>624</v>
      </c>
    </row>
    <row r="21" spans="1:54" x14ac:dyDescent="0.2">
      <c r="A21" s="62"/>
      <c r="B21" s="62"/>
      <c r="C21" s="104"/>
      <c r="D21" s="104"/>
      <c r="E21" s="104"/>
      <c r="F21" s="104"/>
      <c r="G21" s="104"/>
      <c r="H21" s="104"/>
      <c r="I21" s="104"/>
      <c r="J21" s="104"/>
      <c r="K21" s="104"/>
      <c r="L21" s="104"/>
      <c r="M21" s="104"/>
      <c r="N21" s="63"/>
      <c r="O21" s="63"/>
      <c r="P21" s="63"/>
      <c r="Q21" s="63"/>
      <c r="R21" s="63"/>
      <c r="S21" s="63"/>
      <c r="T21" s="63"/>
      <c r="U21" s="63"/>
      <c r="V21" s="63"/>
      <c r="W21" s="63"/>
      <c r="X21" s="63"/>
      <c r="Y21" s="63"/>
      <c r="Z21" s="63"/>
      <c r="AA21" s="63"/>
    </row>
    <row r="27" spans="1:54" x14ac:dyDescent="0.2">
      <c r="B27" s="77"/>
    </row>
  </sheetData>
  <phoneticPr fontId="103" type="noConversion"/>
  <dataValidations count="1">
    <dataValidation type="list" allowBlank="1" showInputMessage="1" showErrorMessage="1" sqref="C10">
      <formula1>"Original, More Higher Ed, More Wages"</formula1>
    </dataValidation>
  </dataValidations>
  <pageMargins left="0.75" right="0.75" top="1" bottom="1" header="0.3" footer="0.3"/>
  <pageSetup orientation="portrait" horizontalDpi="0" verticalDpi="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8"/>
  <sheetViews>
    <sheetView workbookViewId="0">
      <selection activeCell="L1" sqref="L1:BB1"/>
    </sheetView>
  </sheetViews>
  <sheetFormatPr baseColWidth="10" defaultColWidth="11" defaultRowHeight="16" x14ac:dyDescent="0.2"/>
  <cols>
    <col min="1" max="1" width="11.5" bestFit="1" customWidth="1"/>
    <col min="2" max="2" width="47.1640625" bestFit="1" customWidth="1"/>
  </cols>
  <sheetData>
    <row r="1" spans="1:57" x14ac:dyDescent="0.2">
      <c r="A1">
        <v>2011</v>
      </c>
      <c r="B1" s="59" t="s">
        <v>259</v>
      </c>
      <c r="D1" s="6"/>
      <c r="E1" s="3">
        <v>1</v>
      </c>
      <c r="F1" s="3">
        <f>E1+1</f>
        <v>2</v>
      </c>
      <c r="G1" s="3">
        <f t="shared" ref="G1:L1" si="0">F1+1</f>
        <v>3</v>
      </c>
      <c r="H1" s="3">
        <f t="shared" si="0"/>
        <v>4</v>
      </c>
      <c r="I1" s="3">
        <f t="shared" si="0"/>
        <v>5</v>
      </c>
      <c r="J1" s="3">
        <f t="shared" si="0"/>
        <v>6</v>
      </c>
      <c r="K1" s="3">
        <f t="shared" si="0"/>
        <v>7</v>
      </c>
      <c r="L1" s="3">
        <f t="shared" si="0"/>
        <v>8</v>
      </c>
      <c r="M1" s="3">
        <f t="shared" ref="M1" si="1">L1+1</f>
        <v>9</v>
      </c>
      <c r="N1" s="3">
        <f t="shared" ref="N1" si="2">M1+1</f>
        <v>10</v>
      </c>
      <c r="O1" s="3">
        <f t="shared" ref="O1" si="3">N1+1</f>
        <v>11</v>
      </c>
      <c r="P1" s="3">
        <f t="shared" ref="P1" si="4">O1+1</f>
        <v>12</v>
      </c>
      <c r="Q1" s="3">
        <f t="shared" ref="Q1" si="5">P1+1</f>
        <v>13</v>
      </c>
      <c r="R1" s="3">
        <f t="shared" ref="R1" si="6">Q1+1</f>
        <v>14</v>
      </c>
      <c r="S1" s="3">
        <f t="shared" ref="S1" si="7">R1+1</f>
        <v>15</v>
      </c>
      <c r="T1" s="3">
        <f t="shared" ref="T1" si="8">S1+1</f>
        <v>16</v>
      </c>
      <c r="U1" s="3">
        <f t="shared" ref="U1" si="9">T1+1</f>
        <v>17</v>
      </c>
      <c r="V1" s="3">
        <f t="shared" ref="V1" si="10">U1+1</f>
        <v>18</v>
      </c>
      <c r="W1" s="3">
        <f t="shared" ref="W1" si="11">V1+1</f>
        <v>19</v>
      </c>
      <c r="X1" s="3">
        <f t="shared" ref="X1" si="12">W1+1</f>
        <v>20</v>
      </c>
      <c r="Y1" s="3">
        <f t="shared" ref="Y1" si="13">X1+1</f>
        <v>21</v>
      </c>
      <c r="Z1" s="3">
        <f t="shared" ref="Z1" si="14">Y1+1</f>
        <v>22</v>
      </c>
      <c r="AA1" s="3">
        <f t="shared" ref="AA1" si="15">Z1+1</f>
        <v>23</v>
      </c>
      <c r="AB1" s="3">
        <f t="shared" ref="AB1" si="16">AA1+1</f>
        <v>24</v>
      </c>
      <c r="AC1" s="3">
        <f t="shared" ref="AC1" si="17">AB1+1</f>
        <v>25</v>
      </c>
      <c r="AD1" s="3">
        <f t="shared" ref="AD1" si="18">AC1+1</f>
        <v>26</v>
      </c>
      <c r="AE1" s="3">
        <f t="shared" ref="AE1" si="19">AD1+1</f>
        <v>27</v>
      </c>
      <c r="AF1" s="3">
        <f t="shared" ref="AF1" si="20">AE1+1</f>
        <v>28</v>
      </c>
      <c r="AG1" s="3">
        <f t="shared" ref="AG1" si="21">AF1+1</f>
        <v>29</v>
      </c>
      <c r="AH1" s="3">
        <f t="shared" ref="AH1" si="22">AG1+1</f>
        <v>30</v>
      </c>
      <c r="AI1" s="3">
        <f t="shared" ref="AI1" si="23">AH1+1</f>
        <v>31</v>
      </c>
      <c r="AJ1" s="3">
        <f t="shared" ref="AJ1" si="24">AI1+1</f>
        <v>32</v>
      </c>
      <c r="AK1" s="3">
        <f t="shared" ref="AK1" si="25">AJ1+1</f>
        <v>33</v>
      </c>
      <c r="AL1" s="3">
        <f t="shared" ref="AL1" si="26">AK1+1</f>
        <v>34</v>
      </c>
      <c r="AM1" s="3">
        <f t="shared" ref="AM1" si="27">AL1+1</f>
        <v>35</v>
      </c>
      <c r="AN1" s="3">
        <f t="shared" ref="AN1" si="28">AM1+1</f>
        <v>36</v>
      </c>
      <c r="AO1" s="3">
        <f t="shared" ref="AO1" si="29">AN1+1</f>
        <v>37</v>
      </c>
      <c r="AP1" s="3">
        <f t="shared" ref="AP1" si="30">AO1+1</f>
        <v>38</v>
      </c>
      <c r="AQ1" s="3">
        <f t="shared" ref="AQ1" si="31">AP1+1</f>
        <v>39</v>
      </c>
      <c r="AR1" s="3">
        <f t="shared" ref="AR1" si="32">AQ1+1</f>
        <v>40</v>
      </c>
      <c r="AS1" s="3">
        <f t="shared" ref="AS1" si="33">AR1+1</f>
        <v>41</v>
      </c>
      <c r="AT1" s="3">
        <f t="shared" ref="AT1" si="34">AS1+1</f>
        <v>42</v>
      </c>
      <c r="AU1" s="3">
        <f t="shared" ref="AU1" si="35">AT1+1</f>
        <v>43</v>
      </c>
      <c r="AV1" s="3">
        <f t="shared" ref="AV1" si="36">AU1+1</f>
        <v>44</v>
      </c>
      <c r="AW1" s="3">
        <f t="shared" ref="AW1" si="37">AV1+1</f>
        <v>45</v>
      </c>
      <c r="AX1" s="3">
        <f t="shared" ref="AX1" si="38">AW1+1</f>
        <v>46</v>
      </c>
      <c r="AY1" s="3">
        <f t="shared" ref="AY1" si="39">AX1+1</f>
        <v>47</v>
      </c>
      <c r="AZ1" s="3">
        <f t="shared" ref="AZ1" si="40">AY1+1</f>
        <v>48</v>
      </c>
      <c r="BA1" s="3">
        <f t="shared" ref="BA1" si="41">AZ1+1</f>
        <v>49</v>
      </c>
      <c r="BB1" s="3">
        <f t="shared" ref="BB1" si="42">BA1+1</f>
        <v>50</v>
      </c>
      <c r="BC1" s="3"/>
      <c r="BD1" s="19"/>
      <c r="BE1" s="20"/>
    </row>
    <row r="2" spans="1:57" x14ac:dyDescent="0.2">
      <c r="D2" s="24" t="s">
        <v>95</v>
      </c>
      <c r="E2" s="25" t="s">
        <v>144</v>
      </c>
      <c r="F2" s="25" t="s">
        <v>145</v>
      </c>
      <c r="G2" s="25" t="s">
        <v>146</v>
      </c>
      <c r="H2" s="25" t="s">
        <v>147</v>
      </c>
      <c r="I2" s="25" t="s">
        <v>148</v>
      </c>
      <c r="J2" s="25" t="s">
        <v>149</v>
      </c>
      <c r="K2" s="25" t="s">
        <v>150</v>
      </c>
      <c r="L2" s="25" t="s">
        <v>151</v>
      </c>
      <c r="M2" s="25" t="s">
        <v>152</v>
      </c>
      <c r="N2" s="25" t="s">
        <v>153</v>
      </c>
      <c r="O2" s="25" t="s">
        <v>154</v>
      </c>
      <c r="P2" s="25" t="s">
        <v>155</v>
      </c>
      <c r="Q2" s="25" t="s">
        <v>156</v>
      </c>
      <c r="R2" s="25" t="s">
        <v>2</v>
      </c>
      <c r="S2" s="25" t="s">
        <v>3</v>
      </c>
      <c r="T2" s="25" t="s">
        <v>4</v>
      </c>
      <c r="U2" s="25" t="s">
        <v>5</v>
      </c>
      <c r="V2" s="25" t="s">
        <v>6</v>
      </c>
      <c r="W2" s="25" t="s">
        <v>7</v>
      </c>
      <c r="X2" s="25" t="s">
        <v>8</v>
      </c>
      <c r="Y2" s="25" t="s">
        <v>9</v>
      </c>
      <c r="Z2" s="25" t="s">
        <v>10</v>
      </c>
      <c r="AA2" s="25" t="s">
        <v>11</v>
      </c>
      <c r="AB2" s="25" t="s">
        <v>12</v>
      </c>
      <c r="AC2" s="25" t="s">
        <v>13</v>
      </c>
      <c r="AD2" s="25" t="s">
        <v>14</v>
      </c>
      <c r="AE2" s="25" t="s">
        <v>15</v>
      </c>
      <c r="AF2" s="25" t="s">
        <v>16</v>
      </c>
      <c r="AG2" s="25" t="s">
        <v>17</v>
      </c>
      <c r="AH2" s="25" t="s">
        <v>18</v>
      </c>
      <c r="AI2" s="25" t="s">
        <v>19</v>
      </c>
      <c r="AJ2" s="25" t="s">
        <v>20</v>
      </c>
      <c r="AK2" s="25" t="s">
        <v>21</v>
      </c>
      <c r="AL2" s="25" t="s">
        <v>22</v>
      </c>
      <c r="AM2" s="25" t="s">
        <v>23</v>
      </c>
      <c r="AN2" s="25" t="s">
        <v>24</v>
      </c>
      <c r="AO2" s="25" t="s">
        <v>25</v>
      </c>
      <c r="AP2" s="25" t="s">
        <v>26</v>
      </c>
      <c r="AQ2" s="25" t="s">
        <v>27</v>
      </c>
      <c r="AR2" s="25" t="s">
        <v>28</v>
      </c>
      <c r="AS2" s="25" t="s">
        <v>29</v>
      </c>
      <c r="AT2" s="25" t="s">
        <v>30</v>
      </c>
      <c r="AU2" s="25" t="s">
        <v>31</v>
      </c>
      <c r="AV2" s="25" t="s">
        <v>32</v>
      </c>
      <c r="AW2" s="25" t="s">
        <v>33</v>
      </c>
      <c r="AX2" s="25" t="s">
        <v>34</v>
      </c>
      <c r="AY2" s="25" t="s">
        <v>35</v>
      </c>
      <c r="AZ2" s="25" t="s">
        <v>36</v>
      </c>
      <c r="BA2" s="25" t="s">
        <v>37</v>
      </c>
      <c r="BB2" s="25" t="s">
        <v>38</v>
      </c>
      <c r="BC2" s="26" t="s">
        <v>97</v>
      </c>
      <c r="BD2" s="19" t="s">
        <v>92</v>
      </c>
      <c r="BE2" s="20" t="s">
        <v>132</v>
      </c>
    </row>
    <row r="3" spans="1:57" x14ac:dyDescent="0.2">
      <c r="D3" s="24" t="s">
        <v>96</v>
      </c>
      <c r="E3" s="26" t="s">
        <v>39</v>
      </c>
      <c r="F3" s="26" t="s">
        <v>40</v>
      </c>
      <c r="G3" s="26" t="s">
        <v>41</v>
      </c>
      <c r="H3" s="26" t="s">
        <v>42</v>
      </c>
      <c r="I3" s="26" t="s">
        <v>43</v>
      </c>
      <c r="J3" s="26" t="s">
        <v>44</v>
      </c>
      <c r="K3" s="26" t="s">
        <v>45</v>
      </c>
      <c r="L3" s="26" t="s">
        <v>46</v>
      </c>
      <c r="M3" s="26" t="s">
        <v>47</v>
      </c>
      <c r="N3" s="26" t="s">
        <v>48</v>
      </c>
      <c r="O3" s="26" t="s">
        <v>49</v>
      </c>
      <c r="P3" s="26" t="s">
        <v>50</v>
      </c>
      <c r="Q3" s="26" t="s">
        <v>51</v>
      </c>
      <c r="R3" s="26" t="s">
        <v>52</v>
      </c>
      <c r="S3" s="26" t="s">
        <v>53</v>
      </c>
      <c r="T3" s="26" t="s">
        <v>54</v>
      </c>
      <c r="U3" s="26" t="s">
        <v>55</v>
      </c>
      <c r="V3" s="26" t="s">
        <v>56</v>
      </c>
      <c r="W3" s="26" t="s">
        <v>57</v>
      </c>
      <c r="X3" s="26" t="s">
        <v>58</v>
      </c>
      <c r="Y3" s="26" t="s">
        <v>59</v>
      </c>
      <c r="Z3" s="26" t="s">
        <v>60</v>
      </c>
      <c r="AA3" s="26" t="s">
        <v>61</v>
      </c>
      <c r="AB3" s="26" t="s">
        <v>62</v>
      </c>
      <c r="AC3" s="26" t="s">
        <v>63</v>
      </c>
      <c r="AD3" s="26" t="s">
        <v>64</v>
      </c>
      <c r="AE3" s="26" t="s">
        <v>65</v>
      </c>
      <c r="AF3" s="26" t="s">
        <v>66</v>
      </c>
      <c r="AG3" s="26" t="s">
        <v>67</v>
      </c>
      <c r="AH3" s="26" t="s">
        <v>68</v>
      </c>
      <c r="AI3" s="26" t="s">
        <v>69</v>
      </c>
      <c r="AJ3" s="26" t="s">
        <v>70</v>
      </c>
      <c r="AK3" s="26" t="s">
        <v>71</v>
      </c>
      <c r="AL3" s="26" t="s">
        <v>72</v>
      </c>
      <c r="AM3" s="26" t="s">
        <v>73</v>
      </c>
      <c r="AN3" s="26" t="s">
        <v>74</v>
      </c>
      <c r="AO3" s="26" t="s">
        <v>75</v>
      </c>
      <c r="AP3" s="26" t="s">
        <v>76</v>
      </c>
      <c r="AQ3" s="26" t="s">
        <v>77</v>
      </c>
      <c r="AR3" s="26" t="s">
        <v>78</v>
      </c>
      <c r="AS3" s="26" t="s">
        <v>79</v>
      </c>
      <c r="AT3" s="26" t="s">
        <v>80</v>
      </c>
      <c r="AU3" s="26" t="s">
        <v>81</v>
      </c>
      <c r="AV3" s="26" t="s">
        <v>82</v>
      </c>
      <c r="AW3" s="26" t="s">
        <v>83</v>
      </c>
      <c r="AX3" s="26" t="s">
        <v>84</v>
      </c>
      <c r="AY3" s="26" t="s">
        <v>85</v>
      </c>
      <c r="AZ3" s="26" t="s">
        <v>86</v>
      </c>
      <c r="BA3" s="26" t="s">
        <v>87</v>
      </c>
      <c r="BB3" s="26" t="s">
        <v>88</v>
      </c>
    </row>
    <row r="4" spans="1:57" x14ac:dyDescent="0.2">
      <c r="A4">
        <v>1</v>
      </c>
      <c r="B4" s="243" t="s">
        <v>260</v>
      </c>
      <c r="C4" s="243"/>
      <c r="D4" s="326">
        <f>SUM(E4:BB4)</f>
        <v>234.69371497202874</v>
      </c>
      <c r="E4" s="325">
        <f>$C$7*E10</f>
        <v>5.8536148411037834</v>
      </c>
      <c r="F4" s="325">
        <f t="shared" ref="F4:BB4" si="43">$C$7*F10</f>
        <v>0.96007620367672808</v>
      </c>
      <c r="G4" s="325">
        <f t="shared" si="43"/>
        <v>3.747722953506782</v>
      </c>
      <c r="H4" s="325">
        <f t="shared" si="43"/>
        <v>5.7622996471588781</v>
      </c>
      <c r="I4" s="325">
        <f t="shared" si="43"/>
        <v>9.9146652129259341</v>
      </c>
      <c r="J4" s="325">
        <f t="shared" si="43"/>
        <v>5.0905629713989748</v>
      </c>
      <c r="K4" s="325">
        <f t="shared" si="43"/>
        <v>1.2347126949233842</v>
      </c>
      <c r="L4" s="325">
        <f t="shared" si="43"/>
        <v>0.36606683676021812</v>
      </c>
      <c r="M4" s="325">
        <f t="shared" si="43"/>
        <v>7.0103699240464605</v>
      </c>
      <c r="N4" s="325">
        <f t="shared" si="43"/>
        <v>7.1132578506413822</v>
      </c>
      <c r="O4" s="325">
        <f t="shared" si="43"/>
        <v>0.25362132996677589</v>
      </c>
      <c r="P4" s="325">
        <f t="shared" si="43"/>
        <v>2.7954770564987217</v>
      </c>
      <c r="Q4" s="325">
        <f t="shared" si="43"/>
        <v>8.031706762248648</v>
      </c>
      <c r="R4" s="325">
        <f t="shared" si="43"/>
        <v>5.5886510816243051</v>
      </c>
      <c r="S4" s="325">
        <f t="shared" si="43"/>
        <v>6.5859212419772053</v>
      </c>
      <c r="T4" s="325">
        <f t="shared" si="43"/>
        <v>8.0901382954595604</v>
      </c>
      <c r="U4" s="325">
        <f t="shared" si="43"/>
        <v>4.5611594496531911</v>
      </c>
      <c r="V4" s="325">
        <f t="shared" si="43"/>
        <v>3.5486621064673796</v>
      </c>
      <c r="W4" s="325">
        <f t="shared" si="43"/>
        <v>1.3169775513297017</v>
      </c>
      <c r="X4" s="325">
        <f t="shared" si="43"/>
        <v>1.8609068677037077</v>
      </c>
      <c r="Y4" s="325">
        <f t="shared" si="43"/>
        <v>2.0901573469525889</v>
      </c>
      <c r="Z4" s="325">
        <f t="shared" si="43"/>
        <v>7.0291788964224446</v>
      </c>
      <c r="AA4" s="325">
        <f t="shared" si="43"/>
        <v>7.9858625621591868</v>
      </c>
      <c r="AB4" s="325">
        <f t="shared" si="43"/>
        <v>4.3250134065942154</v>
      </c>
      <c r="AC4" s="325">
        <f t="shared" si="43"/>
        <v>7.5808109315270462</v>
      </c>
      <c r="AD4" s="325">
        <f t="shared" si="43"/>
        <v>4.3112781850606074</v>
      </c>
      <c r="AE4" s="325">
        <f t="shared" si="43"/>
        <v>5.3890850070774219</v>
      </c>
      <c r="AF4" s="325">
        <f t="shared" si="43"/>
        <v>2.1210579249469568</v>
      </c>
      <c r="AG4" s="325">
        <f t="shared" si="43"/>
        <v>0.92559729068634788</v>
      </c>
      <c r="AH4" s="325">
        <f t="shared" si="43"/>
        <v>2.2577006914685427</v>
      </c>
      <c r="AI4" s="325">
        <f t="shared" si="43"/>
        <v>3.9372766567347335</v>
      </c>
      <c r="AJ4" s="325">
        <f t="shared" si="43"/>
        <v>6.5977242777645353</v>
      </c>
      <c r="AK4" s="325">
        <f t="shared" si="43"/>
        <v>6.095503838346386</v>
      </c>
      <c r="AL4" s="325">
        <f t="shared" si="43"/>
        <v>5.0004979204591935</v>
      </c>
      <c r="AM4" s="325">
        <f t="shared" si="43"/>
        <v>7.0960584668920852</v>
      </c>
      <c r="AN4" s="325">
        <f t="shared" si="43"/>
        <v>6.4950021694284805</v>
      </c>
      <c r="AO4" s="325">
        <f t="shared" si="43"/>
        <v>3.4055184005614851</v>
      </c>
      <c r="AP4" s="325">
        <f t="shared" si="43"/>
        <v>6.8959086890436794</v>
      </c>
      <c r="AQ4" s="325">
        <f t="shared" si="43"/>
        <v>0.3733691734865941</v>
      </c>
      <c r="AR4" s="325">
        <f t="shared" si="43"/>
        <v>3.799849823182162</v>
      </c>
      <c r="AS4" s="325">
        <f t="shared" si="43"/>
        <v>4.7476521363073223</v>
      </c>
      <c r="AT4" s="325">
        <f t="shared" si="43"/>
        <v>5.498045163766542</v>
      </c>
      <c r="AU4" s="325">
        <f t="shared" si="43"/>
        <v>18.016075177259253</v>
      </c>
      <c r="AV4" s="325">
        <f t="shared" si="43"/>
        <v>2.6274541056993104</v>
      </c>
      <c r="AW4" s="325">
        <f t="shared" si="43"/>
        <v>0.82275139441398659</v>
      </c>
      <c r="AX4" s="325">
        <f t="shared" si="43"/>
        <v>4.2871655617354252</v>
      </c>
      <c r="AY4" s="325">
        <f t="shared" si="43"/>
        <v>4.8215580251932693</v>
      </c>
      <c r="AZ4" s="325">
        <f t="shared" si="43"/>
        <v>2.2250498096305908</v>
      </c>
      <c r="BA4" s="325">
        <f t="shared" si="43"/>
        <v>6.6222524255252146</v>
      </c>
      <c r="BB4" s="325">
        <f t="shared" si="43"/>
        <v>1.6266886346314005</v>
      </c>
      <c r="BE4" t="s">
        <v>261</v>
      </c>
    </row>
    <row r="5" spans="1:57" x14ac:dyDescent="0.2">
      <c r="A5">
        <v>2</v>
      </c>
      <c r="B5" s="247" t="s">
        <v>262</v>
      </c>
      <c r="C5" s="300">
        <v>3130.4</v>
      </c>
      <c r="BD5" t="s">
        <v>263</v>
      </c>
    </row>
    <row r="6" spans="1:57" x14ac:dyDescent="0.2">
      <c r="B6" s="227" t="s">
        <v>1013</v>
      </c>
      <c r="C6" s="233">
        <v>7.4999999999999997E-2</v>
      </c>
    </row>
    <row r="7" spans="1:57" x14ac:dyDescent="0.2">
      <c r="A7">
        <v>3</v>
      </c>
      <c r="B7" t="s">
        <v>264</v>
      </c>
      <c r="C7" s="127">
        <f>C5*C6</f>
        <v>234.78</v>
      </c>
      <c r="BE7" t="s">
        <v>269</v>
      </c>
    </row>
    <row r="8" spans="1:57" x14ac:dyDescent="0.2">
      <c r="A8">
        <v>4</v>
      </c>
      <c r="B8" s="247" t="s">
        <v>270</v>
      </c>
      <c r="C8" s="242">
        <v>4077756</v>
      </c>
      <c r="BD8" t="s">
        <v>271</v>
      </c>
    </row>
    <row r="9" spans="1:57" x14ac:dyDescent="0.2">
      <c r="A9">
        <v>5</v>
      </c>
      <c r="B9" s="330" t="s">
        <v>272</v>
      </c>
      <c r="C9" s="328"/>
      <c r="D9" s="328"/>
      <c r="E9" s="345">
        <v>101668</v>
      </c>
      <c r="F9" s="345">
        <v>16675</v>
      </c>
      <c r="G9" s="345">
        <v>65092</v>
      </c>
      <c r="H9" s="345">
        <v>100082</v>
      </c>
      <c r="I9" s="345">
        <v>172202</v>
      </c>
      <c r="J9" s="345">
        <v>88415</v>
      </c>
      <c r="K9" s="345">
        <v>21445</v>
      </c>
      <c r="L9" s="345">
        <v>6358</v>
      </c>
      <c r="M9" s="345">
        <v>121759</v>
      </c>
      <c r="N9" s="345">
        <v>123546</v>
      </c>
      <c r="O9" s="345">
        <v>4405</v>
      </c>
      <c r="P9" s="345">
        <v>48553</v>
      </c>
      <c r="Q9" s="345">
        <v>139498</v>
      </c>
      <c r="R9" s="345">
        <v>97066</v>
      </c>
      <c r="S9" s="345">
        <v>114387</v>
      </c>
      <c r="T9" s="346">
        <v>140512.86299999998</v>
      </c>
      <c r="U9" s="346">
        <v>79220.100999999995</v>
      </c>
      <c r="V9" s="347">
        <v>61634.628999999979</v>
      </c>
      <c r="W9" s="347">
        <v>22873.809999999998</v>
      </c>
      <c r="X9" s="347">
        <v>32320.999</v>
      </c>
      <c r="Y9" s="347">
        <v>36302.716</v>
      </c>
      <c r="Z9" s="347">
        <v>122085.682</v>
      </c>
      <c r="AA9" s="347">
        <v>138701.75899999999</v>
      </c>
      <c r="AB9" s="347">
        <v>75118.618999999992</v>
      </c>
      <c r="AC9" s="347">
        <v>131666.655</v>
      </c>
      <c r="AD9" s="347">
        <v>74880.060000000012</v>
      </c>
      <c r="AE9" s="347">
        <v>93599.853999999992</v>
      </c>
      <c r="AF9" s="347">
        <v>36839.410000000011</v>
      </c>
      <c r="AG9" s="347">
        <v>16076.155999999997</v>
      </c>
      <c r="AH9" s="347">
        <v>39212.678</v>
      </c>
      <c r="AI9" s="347">
        <v>68384.247000000003</v>
      </c>
      <c r="AJ9" s="347">
        <v>114592</v>
      </c>
      <c r="AK9" s="347">
        <v>105869.22800000002</v>
      </c>
      <c r="AL9" s="347">
        <v>86850.712999999989</v>
      </c>
      <c r="AM9" s="347">
        <v>123247.274</v>
      </c>
      <c r="AN9" s="347">
        <v>112807.88</v>
      </c>
      <c r="AO9" s="347">
        <v>59148.45</v>
      </c>
      <c r="AP9" s="347">
        <v>119770.98999999999</v>
      </c>
      <c r="AQ9" s="347">
        <v>6484.83</v>
      </c>
      <c r="AR9" s="347">
        <v>65997.361000000004</v>
      </c>
      <c r="AS9" s="347">
        <v>82459.183000000005</v>
      </c>
      <c r="AT9" s="347">
        <v>95492.318999999989</v>
      </c>
      <c r="AU9" s="347">
        <v>312910.63399999996</v>
      </c>
      <c r="AV9" s="347">
        <v>45634.707999999991</v>
      </c>
      <c r="AW9" s="347">
        <v>14289.886</v>
      </c>
      <c r="AX9" s="347">
        <v>74461.262000000002</v>
      </c>
      <c r="AY9" s="347">
        <v>83742.811000000016</v>
      </c>
      <c r="AZ9" s="347">
        <v>38645.584000000003</v>
      </c>
      <c r="BA9" s="347">
        <v>115018.01499999998</v>
      </c>
      <c r="BB9" s="347">
        <v>28253.000000000004</v>
      </c>
    </row>
    <row r="10" spans="1:57" x14ac:dyDescent="0.2">
      <c r="A10">
        <v>6</v>
      </c>
      <c r="B10" t="s">
        <v>273</v>
      </c>
      <c r="E10" s="348">
        <f>E9/$C$8</f>
        <v>2.4932340238111354E-2</v>
      </c>
      <c r="F10" s="348">
        <f t="shared" ref="F10:BB10" si="44">F9/$C$8</f>
        <v>4.0892588963145418E-3</v>
      </c>
      <c r="G10" s="348">
        <f t="shared" si="44"/>
        <v>1.5962701054207266E-2</v>
      </c>
      <c r="H10" s="348">
        <f t="shared" si="44"/>
        <v>2.4543400831241496E-2</v>
      </c>
      <c r="I10" s="348">
        <f t="shared" si="44"/>
        <v>4.2229598828375216E-2</v>
      </c>
      <c r="J10" s="348">
        <f t="shared" si="44"/>
        <v>2.1682268384866577E-2</v>
      </c>
      <c r="K10" s="348">
        <f t="shared" si="44"/>
        <v>5.2590199119319546E-3</v>
      </c>
      <c r="L10" s="348">
        <f t="shared" si="44"/>
        <v>1.5591908883219104E-3</v>
      </c>
      <c r="M10" s="348">
        <f t="shared" si="44"/>
        <v>2.9859314779991739E-2</v>
      </c>
      <c r="N10" s="348">
        <f t="shared" si="44"/>
        <v>3.029754600324296E-2</v>
      </c>
      <c r="O10" s="348">
        <f t="shared" si="44"/>
        <v>1.0802510007955357E-3</v>
      </c>
      <c r="P10" s="348">
        <f t="shared" si="44"/>
        <v>1.1906793834648273E-2</v>
      </c>
      <c r="Q10" s="348">
        <f t="shared" si="44"/>
        <v>3.4209501500334985E-2</v>
      </c>
      <c r="R10" s="348">
        <f t="shared" si="44"/>
        <v>2.3803778352603736E-2</v>
      </c>
      <c r="S10" s="348">
        <f t="shared" si="44"/>
        <v>2.8051457713507134E-2</v>
      </c>
      <c r="T10" s="348">
        <f t="shared" si="44"/>
        <v>3.4458379314505329E-2</v>
      </c>
      <c r="U10" s="348">
        <f t="shared" si="44"/>
        <v>1.9427376478631873E-2</v>
      </c>
      <c r="V10" s="348">
        <f t="shared" si="44"/>
        <v>1.511483987761896E-2</v>
      </c>
      <c r="W10" s="348">
        <f t="shared" si="44"/>
        <v>5.6094111565282469E-3</v>
      </c>
      <c r="X10" s="348">
        <f t="shared" si="44"/>
        <v>7.9261728754736679E-3</v>
      </c>
      <c r="Y10" s="348">
        <f t="shared" si="44"/>
        <v>8.9026209513271524E-3</v>
      </c>
      <c r="Z10" s="348">
        <f t="shared" si="44"/>
        <v>2.9939427959887743E-2</v>
      </c>
      <c r="AA10" s="348">
        <f t="shared" si="44"/>
        <v>3.4014236997015022E-2</v>
      </c>
      <c r="AB10" s="348">
        <f t="shared" si="44"/>
        <v>1.8421558082435535E-2</v>
      </c>
      <c r="AC10" s="348">
        <f t="shared" si="44"/>
        <v>3.2288997919443931E-2</v>
      </c>
      <c r="AD10" s="348">
        <f t="shared" si="44"/>
        <v>1.8363055562912546E-2</v>
      </c>
      <c r="AE10" s="348">
        <f t="shared" si="44"/>
        <v>2.2953765257165949E-2</v>
      </c>
      <c r="AF10" s="348">
        <f t="shared" si="44"/>
        <v>9.0342359866554083E-3</v>
      </c>
      <c r="AG10" s="348">
        <f t="shared" si="44"/>
        <v>3.9424026351748357E-3</v>
      </c>
      <c r="AH10" s="348">
        <f t="shared" si="44"/>
        <v>9.616239421878111E-3</v>
      </c>
      <c r="AI10" s="348">
        <f t="shared" si="44"/>
        <v>1.6770068390555982E-2</v>
      </c>
      <c r="AJ10" s="348">
        <f t="shared" si="44"/>
        <v>2.810173046155778E-2</v>
      </c>
      <c r="AK10" s="348">
        <f t="shared" si="44"/>
        <v>2.5962619636878719E-2</v>
      </c>
      <c r="AL10" s="348">
        <f t="shared" si="44"/>
        <v>2.1298653720330494E-2</v>
      </c>
      <c r="AM10" s="348">
        <f t="shared" si="44"/>
        <v>3.0224288554783565E-2</v>
      </c>
      <c r="AN10" s="348">
        <f t="shared" si="44"/>
        <v>2.7664205509108444E-2</v>
      </c>
      <c r="AO10" s="348">
        <f t="shared" si="44"/>
        <v>1.4505146948468715E-2</v>
      </c>
      <c r="AP10" s="348">
        <f t="shared" si="44"/>
        <v>2.9371789288029984E-2</v>
      </c>
      <c r="AQ10" s="348">
        <f t="shared" si="44"/>
        <v>1.5902937792256328E-3</v>
      </c>
      <c r="AR10" s="348">
        <f t="shared" si="44"/>
        <v>1.6184725373465211E-2</v>
      </c>
      <c r="AS10" s="348">
        <f t="shared" si="44"/>
        <v>2.0221706006931264E-2</v>
      </c>
      <c r="AT10" s="348">
        <f t="shared" si="44"/>
        <v>2.3417859970042344E-2</v>
      </c>
      <c r="AU10" s="348">
        <f t="shared" si="44"/>
        <v>7.6735987636337225E-2</v>
      </c>
      <c r="AV10" s="348">
        <f t="shared" si="44"/>
        <v>1.1191132573896033E-2</v>
      </c>
      <c r="AW10" s="348">
        <f t="shared" si="44"/>
        <v>3.5043504319532607E-3</v>
      </c>
      <c r="AX10" s="348">
        <f t="shared" si="44"/>
        <v>1.8260352507604674E-2</v>
      </c>
      <c r="AY10" s="348">
        <f t="shared" si="44"/>
        <v>2.0536493846125176E-2</v>
      </c>
      <c r="AZ10" s="348">
        <f t="shared" si="44"/>
        <v>9.4771693058633231E-3</v>
      </c>
      <c r="BA10" s="348">
        <f t="shared" si="44"/>
        <v>2.8206203362829946E-2</v>
      </c>
      <c r="BB10" s="348">
        <f t="shared" si="44"/>
        <v>6.9285656130479616E-3</v>
      </c>
      <c r="BE10" t="s">
        <v>99</v>
      </c>
    </row>
    <row r="12" spans="1:57" x14ac:dyDescent="0.2">
      <c r="B12" s="59" t="s">
        <v>579</v>
      </c>
    </row>
    <row r="13" spans="1:57" x14ac:dyDescent="0.2">
      <c r="A13">
        <v>1</v>
      </c>
      <c r="B13" t="s">
        <v>622</v>
      </c>
    </row>
    <row r="14" spans="1:57" x14ac:dyDescent="0.2">
      <c r="A14">
        <v>2</v>
      </c>
      <c r="B14" t="s">
        <v>621</v>
      </c>
    </row>
    <row r="15" spans="1:57" x14ac:dyDescent="0.2">
      <c r="A15">
        <v>3</v>
      </c>
      <c r="B15" t="s">
        <v>813</v>
      </c>
    </row>
    <row r="16" spans="1:57" x14ac:dyDescent="0.2">
      <c r="A16">
        <v>4</v>
      </c>
      <c r="B16" t="s">
        <v>271</v>
      </c>
    </row>
    <row r="17" spans="1:2" x14ac:dyDescent="0.2">
      <c r="A17">
        <v>5</v>
      </c>
      <c r="B17" t="s">
        <v>271</v>
      </c>
    </row>
    <row r="18" spans="1:2" x14ac:dyDescent="0.2">
      <c r="A18">
        <v>6</v>
      </c>
      <c r="B18" t="s">
        <v>620</v>
      </c>
    </row>
  </sheetData>
  <phoneticPr fontId="103" type="noConversion"/>
  <pageMargins left="0.75" right="0.75" top="1" bottom="1" header="0.3" footer="0.3"/>
  <pageSetup orientation="portrait"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8"/>
  <sheetViews>
    <sheetView topLeftCell="A7" zoomScale="115" zoomScaleNormal="115" zoomScalePageLayoutView="115" workbookViewId="0">
      <selection activeCell="C14" sqref="C14"/>
    </sheetView>
  </sheetViews>
  <sheetFormatPr baseColWidth="10" defaultColWidth="11" defaultRowHeight="16" x14ac:dyDescent="0.2"/>
  <cols>
    <col min="1" max="1" width="11" style="30"/>
    <col min="2" max="2" width="48.6640625" style="30" customWidth="1"/>
    <col min="3" max="3" width="21.83203125" style="30" customWidth="1"/>
    <col min="4" max="4" width="15.33203125" style="30" bestFit="1" customWidth="1"/>
    <col min="5" max="5" width="13.6640625" style="30" customWidth="1"/>
    <col min="6" max="7" width="15.33203125" style="30" bestFit="1" customWidth="1"/>
    <col min="8" max="8" width="16.33203125" style="30" bestFit="1" customWidth="1"/>
    <col min="9" max="11" width="15.33203125" style="30" bestFit="1" customWidth="1"/>
    <col min="12" max="13" width="16.33203125" style="30" bestFit="1" customWidth="1"/>
    <col min="14" max="15" width="15.33203125" style="30" bestFit="1" customWidth="1"/>
    <col min="16" max="16" width="16.33203125" style="30" bestFit="1" customWidth="1"/>
    <col min="17" max="22" width="15.33203125" style="30" bestFit="1" customWidth="1"/>
    <col min="23" max="25" width="16.33203125" style="30" bestFit="1" customWidth="1"/>
    <col min="26" max="28" width="15.33203125" style="30" bestFit="1" customWidth="1"/>
    <col min="29" max="29" width="14" style="30" bestFit="1" customWidth="1"/>
    <col min="30" max="32" width="15.33203125" style="30" bestFit="1" customWidth="1"/>
    <col min="33" max="33" width="16.33203125" style="30" bestFit="1" customWidth="1"/>
    <col min="34" max="34" width="15.33203125" style="30" bestFit="1" customWidth="1"/>
    <col min="35" max="36" width="16.33203125" style="30" bestFit="1" customWidth="1"/>
    <col min="37" max="37" width="14" style="30" bestFit="1" customWidth="1"/>
    <col min="38" max="38" width="16.33203125" style="30" bestFit="1" customWidth="1"/>
    <col min="39" max="40" width="15.33203125" style="30" bestFit="1" customWidth="1"/>
    <col min="41" max="41" width="16.33203125" style="30" bestFit="1" customWidth="1"/>
    <col min="42" max="43" width="15.33203125" style="30" bestFit="1" customWidth="1"/>
    <col min="44" max="44" width="14" style="30" bestFit="1" customWidth="1"/>
    <col min="45" max="45" width="15.33203125" style="30" bestFit="1" customWidth="1"/>
    <col min="46" max="46" width="16.33203125" style="30" bestFit="1" customWidth="1"/>
    <col min="47" max="47" width="15.33203125" style="30" bestFit="1" customWidth="1"/>
    <col min="48" max="48" width="14" style="30" bestFit="1" customWidth="1"/>
    <col min="49" max="49" width="16.33203125" style="30" bestFit="1" customWidth="1"/>
    <col min="50" max="52" width="15.33203125" style="30" bestFit="1" customWidth="1"/>
    <col min="53" max="53" width="14" style="30" bestFit="1" customWidth="1"/>
    <col min="54" max="16384" width="11" style="30"/>
  </cols>
  <sheetData>
    <row r="1" spans="1:56" x14ac:dyDescent="0.2">
      <c r="C1" s="176"/>
      <c r="D1" s="177">
        <v>1</v>
      </c>
      <c r="E1" s="177">
        <f>D1+1</f>
        <v>2</v>
      </c>
      <c r="F1" s="177">
        <f t="shared" ref="F1:K1" si="0">E1+1</f>
        <v>3</v>
      </c>
      <c r="G1" s="177">
        <f t="shared" si="0"/>
        <v>4</v>
      </c>
      <c r="H1" s="177">
        <f t="shared" si="0"/>
        <v>5</v>
      </c>
      <c r="I1" s="177">
        <f t="shared" si="0"/>
        <v>6</v>
      </c>
      <c r="J1" s="177">
        <f t="shared" si="0"/>
        <v>7</v>
      </c>
      <c r="K1" s="177">
        <f t="shared" si="0"/>
        <v>8</v>
      </c>
      <c r="L1" s="177">
        <f t="shared" ref="L1" si="1">K1+1</f>
        <v>9</v>
      </c>
      <c r="M1" s="177">
        <f t="shared" ref="M1" si="2">L1+1</f>
        <v>10</v>
      </c>
      <c r="N1" s="177">
        <f t="shared" ref="N1" si="3">M1+1</f>
        <v>11</v>
      </c>
      <c r="O1" s="177">
        <f t="shared" ref="O1" si="4">N1+1</f>
        <v>12</v>
      </c>
      <c r="P1" s="177">
        <f t="shared" ref="P1" si="5">O1+1</f>
        <v>13</v>
      </c>
      <c r="Q1" s="177">
        <f t="shared" ref="Q1" si="6">P1+1</f>
        <v>14</v>
      </c>
      <c r="R1" s="177">
        <f t="shared" ref="R1" si="7">Q1+1</f>
        <v>15</v>
      </c>
      <c r="S1" s="177">
        <f t="shared" ref="S1" si="8">R1+1</f>
        <v>16</v>
      </c>
      <c r="T1" s="177">
        <f t="shared" ref="T1" si="9">S1+1</f>
        <v>17</v>
      </c>
      <c r="U1" s="177">
        <f t="shared" ref="U1" si="10">T1+1</f>
        <v>18</v>
      </c>
      <c r="V1" s="177">
        <f t="shared" ref="V1" si="11">U1+1</f>
        <v>19</v>
      </c>
      <c r="W1" s="177">
        <f t="shared" ref="W1" si="12">V1+1</f>
        <v>20</v>
      </c>
      <c r="X1" s="177">
        <f t="shared" ref="X1" si="13">W1+1</f>
        <v>21</v>
      </c>
      <c r="Y1" s="177">
        <f t="shared" ref="Y1" si="14">X1+1</f>
        <v>22</v>
      </c>
      <c r="Z1" s="177">
        <f t="shared" ref="Z1" si="15">Y1+1</f>
        <v>23</v>
      </c>
      <c r="AA1" s="177">
        <f t="shared" ref="AA1" si="16">Z1+1</f>
        <v>24</v>
      </c>
      <c r="AB1" s="177">
        <f t="shared" ref="AB1" si="17">AA1+1</f>
        <v>25</v>
      </c>
      <c r="AC1" s="177">
        <f t="shared" ref="AC1" si="18">AB1+1</f>
        <v>26</v>
      </c>
      <c r="AD1" s="177">
        <f t="shared" ref="AD1" si="19">AC1+1</f>
        <v>27</v>
      </c>
      <c r="AE1" s="177">
        <f t="shared" ref="AE1" si="20">AD1+1</f>
        <v>28</v>
      </c>
      <c r="AF1" s="177">
        <f t="shared" ref="AF1" si="21">AE1+1</f>
        <v>29</v>
      </c>
      <c r="AG1" s="177">
        <f t="shared" ref="AG1" si="22">AF1+1</f>
        <v>30</v>
      </c>
      <c r="AH1" s="177">
        <f t="shared" ref="AH1" si="23">AG1+1</f>
        <v>31</v>
      </c>
      <c r="AI1" s="177">
        <f t="shared" ref="AI1" si="24">AH1+1</f>
        <v>32</v>
      </c>
      <c r="AJ1" s="177">
        <f t="shared" ref="AJ1" si="25">AI1+1</f>
        <v>33</v>
      </c>
      <c r="AK1" s="177">
        <f t="shared" ref="AK1" si="26">AJ1+1</f>
        <v>34</v>
      </c>
      <c r="AL1" s="177">
        <f t="shared" ref="AL1" si="27">AK1+1</f>
        <v>35</v>
      </c>
      <c r="AM1" s="177">
        <f t="shared" ref="AM1" si="28">AL1+1</f>
        <v>36</v>
      </c>
      <c r="AN1" s="177">
        <f t="shared" ref="AN1" si="29">AM1+1</f>
        <v>37</v>
      </c>
      <c r="AO1" s="177">
        <f t="shared" ref="AO1" si="30">AN1+1</f>
        <v>38</v>
      </c>
      <c r="AP1" s="177">
        <f t="shared" ref="AP1" si="31">AO1+1</f>
        <v>39</v>
      </c>
      <c r="AQ1" s="177">
        <f t="shared" ref="AQ1" si="32">AP1+1</f>
        <v>40</v>
      </c>
      <c r="AR1" s="177">
        <f t="shared" ref="AR1" si="33">AQ1+1</f>
        <v>41</v>
      </c>
      <c r="AS1" s="177">
        <f t="shared" ref="AS1" si="34">AR1+1</f>
        <v>42</v>
      </c>
      <c r="AT1" s="177">
        <f t="shared" ref="AT1" si="35">AS1+1</f>
        <v>43</v>
      </c>
      <c r="AU1" s="177">
        <f t="shared" ref="AU1" si="36">AT1+1</f>
        <v>44</v>
      </c>
      <c r="AV1" s="177">
        <f t="shared" ref="AV1" si="37">AU1+1</f>
        <v>45</v>
      </c>
      <c r="AW1" s="177">
        <f t="shared" ref="AW1" si="38">AV1+1</f>
        <v>46</v>
      </c>
      <c r="AX1" s="177">
        <f t="shared" ref="AX1" si="39">AW1+1</f>
        <v>47</v>
      </c>
      <c r="AY1" s="177">
        <f t="shared" ref="AY1" si="40">AX1+1</f>
        <v>48</v>
      </c>
      <c r="AZ1" s="177">
        <f t="shared" ref="AZ1" si="41">AY1+1</f>
        <v>49</v>
      </c>
      <c r="BA1" s="177">
        <f t="shared" ref="BA1" si="42">AZ1+1</f>
        <v>50</v>
      </c>
    </row>
    <row r="2" spans="1:56" x14ac:dyDescent="0.2">
      <c r="B2" s="456"/>
      <c r="C2" s="178" t="s">
        <v>95</v>
      </c>
      <c r="D2" s="181" t="s">
        <v>170</v>
      </c>
      <c r="E2" s="179" t="s">
        <v>814</v>
      </c>
      <c r="F2" s="179" t="s">
        <v>815</v>
      </c>
      <c r="G2" s="179" t="s">
        <v>816</v>
      </c>
      <c r="H2" s="179" t="s">
        <v>817</v>
      </c>
      <c r="I2" s="179" t="s">
        <v>818</v>
      </c>
      <c r="J2" s="179" t="s">
        <v>819</v>
      </c>
      <c r="K2" s="179" t="s">
        <v>820</v>
      </c>
      <c r="L2" s="179" t="s">
        <v>821</v>
      </c>
      <c r="M2" s="179" t="s">
        <v>822</v>
      </c>
      <c r="N2" s="179" t="s">
        <v>823</v>
      </c>
      <c r="O2" s="179" t="s">
        <v>824</v>
      </c>
      <c r="P2" s="179" t="s">
        <v>825</v>
      </c>
      <c r="Q2" s="179" t="s">
        <v>826</v>
      </c>
      <c r="R2" s="179" t="s">
        <v>827</v>
      </c>
      <c r="S2" s="179" t="s">
        <v>828</v>
      </c>
      <c r="T2" s="179" t="s">
        <v>829</v>
      </c>
      <c r="U2" s="179" t="s">
        <v>830</v>
      </c>
      <c r="V2" s="179" t="s">
        <v>831</v>
      </c>
      <c r="W2" s="179" t="s">
        <v>832</v>
      </c>
      <c r="X2" s="179" t="s">
        <v>833</v>
      </c>
      <c r="Y2" s="179" t="s">
        <v>834</v>
      </c>
      <c r="Z2" s="179" t="s">
        <v>835</v>
      </c>
      <c r="AA2" s="179" t="s">
        <v>836</v>
      </c>
      <c r="AB2" s="179" t="s">
        <v>837</v>
      </c>
      <c r="AC2" s="179" t="s">
        <v>838</v>
      </c>
      <c r="AD2" s="179" t="s">
        <v>839</v>
      </c>
      <c r="AE2" s="179" t="s">
        <v>840</v>
      </c>
      <c r="AF2" s="179" t="s">
        <v>841</v>
      </c>
      <c r="AG2" s="179" t="s">
        <v>842</v>
      </c>
      <c r="AH2" s="179" t="s">
        <v>843</v>
      </c>
      <c r="AI2" s="179" t="s">
        <v>844</v>
      </c>
      <c r="AJ2" s="179" t="s">
        <v>845</v>
      </c>
      <c r="AK2" s="179" t="s">
        <v>846</v>
      </c>
      <c r="AL2" s="179" t="s">
        <v>847</v>
      </c>
      <c r="AM2" s="179" t="s">
        <v>848</v>
      </c>
      <c r="AN2" s="179" t="s">
        <v>849</v>
      </c>
      <c r="AO2" s="179" t="s">
        <v>850</v>
      </c>
      <c r="AP2" s="179" t="s">
        <v>851</v>
      </c>
      <c r="AQ2" s="179" t="s">
        <v>852</v>
      </c>
      <c r="AR2" s="179" t="s">
        <v>853</v>
      </c>
      <c r="AS2" s="179" t="s">
        <v>854</v>
      </c>
      <c r="AT2" s="179" t="s">
        <v>855</v>
      </c>
      <c r="AU2" s="179" t="s">
        <v>856</v>
      </c>
      <c r="AV2" s="179" t="s">
        <v>857</v>
      </c>
      <c r="AW2" s="179" t="s">
        <v>858</v>
      </c>
      <c r="AX2" s="179" t="s">
        <v>859</v>
      </c>
      <c r="AY2" s="179" t="s">
        <v>860</v>
      </c>
      <c r="AZ2" s="179" t="s">
        <v>861</v>
      </c>
      <c r="BA2" s="179" t="s">
        <v>862</v>
      </c>
      <c r="BB2" s="180" t="s">
        <v>96</v>
      </c>
      <c r="BC2" s="181" t="s">
        <v>97</v>
      </c>
      <c r="BD2" s="181" t="s">
        <v>92</v>
      </c>
    </row>
    <row r="3" spans="1:56" x14ac:dyDescent="0.2">
      <c r="C3" s="178" t="s">
        <v>96</v>
      </c>
      <c r="D3" s="181" t="s">
        <v>39</v>
      </c>
      <c r="E3" s="181" t="s">
        <v>40</v>
      </c>
      <c r="F3" s="181" t="s">
        <v>41</v>
      </c>
      <c r="G3" s="181" t="s">
        <v>42</v>
      </c>
      <c r="H3" s="181" t="s">
        <v>43</v>
      </c>
      <c r="I3" s="181" t="s">
        <v>44</v>
      </c>
      <c r="J3" s="181" t="s">
        <v>45</v>
      </c>
      <c r="K3" s="181" t="s">
        <v>46</v>
      </c>
      <c r="L3" s="181" t="s">
        <v>47</v>
      </c>
      <c r="M3" s="181" t="s">
        <v>48</v>
      </c>
      <c r="N3" s="181" t="s">
        <v>49</v>
      </c>
      <c r="O3" s="181" t="s">
        <v>50</v>
      </c>
      <c r="P3" s="181" t="s">
        <v>51</v>
      </c>
      <c r="Q3" s="181" t="s">
        <v>52</v>
      </c>
      <c r="R3" s="181" t="s">
        <v>53</v>
      </c>
      <c r="S3" s="181" t="s">
        <v>54</v>
      </c>
      <c r="T3" s="181" t="s">
        <v>55</v>
      </c>
      <c r="U3" s="181" t="s">
        <v>56</v>
      </c>
      <c r="V3" s="181" t="s">
        <v>57</v>
      </c>
      <c r="W3" s="181" t="s">
        <v>58</v>
      </c>
      <c r="X3" s="181" t="s">
        <v>59</v>
      </c>
      <c r="Y3" s="181" t="s">
        <v>60</v>
      </c>
      <c r="Z3" s="181" t="s">
        <v>61</v>
      </c>
      <c r="AA3" s="181" t="s">
        <v>62</v>
      </c>
      <c r="AB3" s="181" t="s">
        <v>63</v>
      </c>
      <c r="AC3" s="181" t="s">
        <v>64</v>
      </c>
      <c r="AD3" s="181" t="s">
        <v>65</v>
      </c>
      <c r="AE3" s="181" t="s">
        <v>66</v>
      </c>
      <c r="AF3" s="181" t="s">
        <v>67</v>
      </c>
      <c r="AG3" s="181" t="s">
        <v>68</v>
      </c>
      <c r="AH3" s="181" t="s">
        <v>69</v>
      </c>
      <c r="AI3" s="181" t="s">
        <v>70</v>
      </c>
      <c r="AJ3" s="181" t="s">
        <v>71</v>
      </c>
      <c r="AK3" s="181" t="s">
        <v>72</v>
      </c>
      <c r="AL3" s="181" t="s">
        <v>73</v>
      </c>
      <c r="AM3" s="181" t="s">
        <v>74</v>
      </c>
      <c r="AN3" s="181" t="s">
        <v>75</v>
      </c>
      <c r="AO3" s="181" t="s">
        <v>76</v>
      </c>
      <c r="AP3" s="181" t="s">
        <v>77</v>
      </c>
      <c r="AQ3" s="181" t="s">
        <v>78</v>
      </c>
      <c r="AR3" s="181" t="s">
        <v>79</v>
      </c>
      <c r="AS3" s="181" t="s">
        <v>80</v>
      </c>
      <c r="AT3" s="181" t="s">
        <v>81</v>
      </c>
      <c r="AU3" s="181" t="s">
        <v>82</v>
      </c>
      <c r="AV3" s="181" t="s">
        <v>83</v>
      </c>
      <c r="AW3" s="181" t="s">
        <v>84</v>
      </c>
      <c r="AX3" s="181" t="s">
        <v>85</v>
      </c>
      <c r="AY3" s="181" t="s">
        <v>86</v>
      </c>
      <c r="AZ3" s="181" t="s">
        <v>87</v>
      </c>
      <c r="BA3" s="181" t="s">
        <v>88</v>
      </c>
      <c r="BB3" s="180"/>
      <c r="BC3" s="182"/>
      <c r="BD3" s="183"/>
    </row>
    <row r="4" spans="1:56" x14ac:dyDescent="0.2">
      <c r="A4" s="30">
        <v>1</v>
      </c>
      <c r="B4" s="349" t="s">
        <v>324</v>
      </c>
      <c r="C4" s="351">
        <f>SUM(D4:BA4)</f>
        <v>410.23061592837877</v>
      </c>
      <c r="D4" s="350">
        <f>(D5+(D14*0.3)+D17)/1000000000</f>
        <v>4.6704668706691201</v>
      </c>
      <c r="E4" s="350">
        <f t="shared" ref="E4:AH4" si="43">(E5+(E14*0.3)+E17)/1000000000</f>
        <v>0.83479736285259398</v>
      </c>
      <c r="F4" s="350">
        <f t="shared" si="43"/>
        <v>7.1238611165011729</v>
      </c>
      <c r="G4" s="350">
        <f t="shared" si="43"/>
        <v>2.3654928118281444</v>
      </c>
      <c r="H4" s="350">
        <f t="shared" si="43"/>
        <v>57.169452262329855</v>
      </c>
      <c r="I4" s="350">
        <f t="shared" si="43"/>
        <v>7.1136915745987244</v>
      </c>
      <c r="J4" s="350">
        <f t="shared" si="43"/>
        <v>5.6218350415937941</v>
      </c>
      <c r="K4" s="350">
        <f t="shared" si="43"/>
        <v>1.2297848944477439</v>
      </c>
      <c r="L4" s="350">
        <f t="shared" si="43"/>
        <v>21.098572680061505</v>
      </c>
      <c r="M4" s="350">
        <f t="shared" si="43"/>
        <v>12.0487926443421</v>
      </c>
      <c r="N4" s="350">
        <f t="shared" si="43"/>
        <v>1.9251789538586817</v>
      </c>
      <c r="O4" s="350">
        <f t="shared" si="43"/>
        <v>1.2698028033395998</v>
      </c>
      <c r="P4" s="350">
        <f t="shared" si="43"/>
        <v>19.947667806623269</v>
      </c>
      <c r="Q4" s="350">
        <f t="shared" si="43"/>
        <v>6.7256433453149809</v>
      </c>
      <c r="R4" s="350">
        <f t="shared" si="43"/>
        <v>2.7344241398788047</v>
      </c>
      <c r="S4" s="350">
        <f t="shared" si="43"/>
        <v>2.6135895132658367</v>
      </c>
      <c r="T4" s="350">
        <f t="shared" si="43"/>
        <v>4.0243349405310482</v>
      </c>
      <c r="U4" s="350">
        <f t="shared" si="43"/>
        <v>4.8112263594745759</v>
      </c>
      <c r="V4" s="350">
        <f t="shared" si="43"/>
        <v>1.4535473170188682</v>
      </c>
      <c r="W4" s="350">
        <f t="shared" si="43"/>
        <v>11.904899422332031</v>
      </c>
      <c r="X4" s="350">
        <f t="shared" si="43"/>
        <v>12.565688613107275</v>
      </c>
      <c r="Y4" s="350">
        <f t="shared" si="43"/>
        <v>10.845056496524419</v>
      </c>
      <c r="Z4" s="350">
        <f t="shared" si="43"/>
        <v>7.0375627397797427</v>
      </c>
      <c r="AA4" s="350">
        <f t="shared" si="43"/>
        <v>2.4674851759924135</v>
      </c>
      <c r="AB4" s="350">
        <f t="shared" si="43"/>
        <v>6.4423053942559392</v>
      </c>
      <c r="AC4" s="350">
        <f t="shared" si="43"/>
        <v>0.76501721979485404</v>
      </c>
      <c r="AD4" s="350">
        <f t="shared" si="43"/>
        <v>1.6380171567727204</v>
      </c>
      <c r="AE4" s="350">
        <f t="shared" si="43"/>
        <v>3.0795351337398174</v>
      </c>
      <c r="AF4" s="350">
        <f t="shared" si="43"/>
        <v>1.9486908789242201</v>
      </c>
      <c r="AG4" s="350">
        <f t="shared" si="43"/>
        <v>17.077218141469171</v>
      </c>
      <c r="AH4" s="350">
        <f t="shared" si="43"/>
        <v>1.9084401233585926</v>
      </c>
      <c r="AI4" s="350">
        <f t="shared" ref="AI4:BA4" si="44">(AI5+(AI14*0.3)+AI17)/1000000000</f>
        <v>41.642578772149768</v>
      </c>
      <c r="AJ4" s="350">
        <f t="shared" si="44"/>
        <v>10.098518910100596</v>
      </c>
      <c r="AK4" s="350">
        <f t="shared" si="44"/>
        <v>0.57724094415462557</v>
      </c>
      <c r="AL4" s="350">
        <f t="shared" si="44"/>
        <v>12.402239103097008</v>
      </c>
      <c r="AM4" s="350">
        <f t="shared" si="44"/>
        <v>3.3505702497693197</v>
      </c>
      <c r="AN4" s="350">
        <f t="shared" si="44"/>
        <v>4.153692027135361</v>
      </c>
      <c r="AO4" s="350">
        <f t="shared" si="44"/>
        <v>16.911279167141775</v>
      </c>
      <c r="AP4" s="350">
        <f t="shared" si="44"/>
        <v>1.3991364752833191</v>
      </c>
      <c r="AQ4" s="350">
        <f t="shared" si="44"/>
        <v>4.4273193842739662</v>
      </c>
      <c r="AR4" s="350">
        <f t="shared" si="44"/>
        <v>0.59833760073028697</v>
      </c>
      <c r="AS4" s="350">
        <f t="shared" si="44"/>
        <v>6.5208847632986</v>
      </c>
      <c r="AT4" s="350">
        <f t="shared" si="44"/>
        <v>30.497081803842942</v>
      </c>
      <c r="AU4" s="350">
        <f t="shared" si="44"/>
        <v>2.8014676984025089</v>
      </c>
      <c r="AV4" s="350">
        <f t="shared" si="44"/>
        <v>0.72833296804561809</v>
      </c>
      <c r="AW4" s="350">
        <f t="shared" si="44"/>
        <v>13.002020111531099</v>
      </c>
      <c r="AX4" s="350">
        <f t="shared" si="44"/>
        <v>10.15001881668735</v>
      </c>
      <c r="AY4" s="350">
        <f t="shared" si="44"/>
        <v>1.7130991979279451</v>
      </c>
      <c r="AZ4" s="350">
        <f t="shared" si="44"/>
        <v>6.228819387065613</v>
      </c>
      <c r="BA4" s="350">
        <f t="shared" si="44"/>
        <v>0.56589961315926207</v>
      </c>
    </row>
    <row r="5" spans="1:56" x14ac:dyDescent="0.2">
      <c r="A5" s="30">
        <v>2</v>
      </c>
      <c r="B5" s="30" t="s">
        <v>325</v>
      </c>
      <c r="C5" s="455">
        <f>SUM(D5:BA5)</f>
        <v>12959690853</v>
      </c>
      <c r="D5" s="360">
        <v>5689950</v>
      </c>
      <c r="E5" s="352">
        <v>22473592</v>
      </c>
      <c r="F5" s="352">
        <v>80347740</v>
      </c>
      <c r="G5" s="352">
        <v>3878725</v>
      </c>
      <c r="H5" s="352">
        <v>1672295257</v>
      </c>
      <c r="I5" s="352">
        <v>122312490</v>
      </c>
      <c r="J5" s="352">
        <v>47691868</v>
      </c>
      <c r="K5" s="352">
        <v>13095817</v>
      </c>
      <c r="L5" s="353">
        <v>277970953</v>
      </c>
      <c r="M5" s="353">
        <v>172118541</v>
      </c>
      <c r="N5" s="353">
        <v>56649622</v>
      </c>
      <c r="O5" s="353">
        <v>1184598</v>
      </c>
      <c r="P5" s="353">
        <v>912998655</v>
      </c>
      <c r="Q5" s="353">
        <v>42837495</v>
      </c>
      <c r="R5" s="353">
        <v>16635671</v>
      </c>
      <c r="S5" s="353">
        <v>8988207</v>
      </c>
      <c r="T5" s="353">
        <v>18865968</v>
      </c>
      <c r="U5" s="353">
        <v>26308453</v>
      </c>
      <c r="V5" s="353">
        <v>15016797</v>
      </c>
      <c r="W5" s="353">
        <v>167326999</v>
      </c>
      <c r="X5" s="353">
        <v>512116404</v>
      </c>
      <c r="Y5" s="353">
        <v>86503438</v>
      </c>
      <c r="Z5" s="353">
        <v>116029634</v>
      </c>
      <c r="AA5" s="353">
        <v>2115468</v>
      </c>
      <c r="AB5" s="353">
        <v>64729018</v>
      </c>
      <c r="AC5" s="353">
        <v>2047066</v>
      </c>
      <c r="AD5" s="353">
        <v>6419931</v>
      </c>
      <c r="AE5" s="353">
        <v>94622005</v>
      </c>
      <c r="AF5" s="353">
        <v>13428222</v>
      </c>
      <c r="AG5" s="353">
        <v>1289131822</v>
      </c>
      <c r="AH5" s="353">
        <v>8355572</v>
      </c>
      <c r="AI5" s="353">
        <v>5202136247</v>
      </c>
      <c r="AJ5" s="354">
        <v>63589643</v>
      </c>
      <c r="AK5" s="354">
        <v>1800899</v>
      </c>
      <c r="AL5" s="353">
        <v>134385433</v>
      </c>
      <c r="AM5" s="353">
        <v>5814854</v>
      </c>
      <c r="AN5" s="353">
        <v>116889209</v>
      </c>
      <c r="AO5" s="353">
        <v>646619787</v>
      </c>
      <c r="AP5" s="353">
        <v>21980654</v>
      </c>
      <c r="AQ5" s="353">
        <v>12979328</v>
      </c>
      <c r="AR5" s="353">
        <v>1269346</v>
      </c>
      <c r="AS5" s="353">
        <v>33799928</v>
      </c>
      <c r="AT5" s="353">
        <v>231334113</v>
      </c>
      <c r="AU5" s="353">
        <v>47463513</v>
      </c>
      <c r="AV5" s="353">
        <v>2593015</v>
      </c>
      <c r="AW5" s="353">
        <v>110590311</v>
      </c>
      <c r="AX5" s="353">
        <v>365977548</v>
      </c>
      <c r="AY5" s="353">
        <v>8901285</v>
      </c>
      <c r="AZ5" s="353">
        <v>70832644</v>
      </c>
      <c r="BA5" s="353">
        <v>547118</v>
      </c>
    </row>
    <row r="6" spans="1:56" x14ac:dyDescent="0.2">
      <c r="A6" s="30">
        <v>3</v>
      </c>
      <c r="B6" s="30" t="s">
        <v>326</v>
      </c>
      <c r="D6" s="352">
        <v>24</v>
      </c>
      <c r="E6" s="352">
        <v>18.2</v>
      </c>
      <c r="F6" s="352">
        <v>24.7</v>
      </c>
      <c r="G6" s="352">
        <v>21.2</v>
      </c>
      <c r="H6" s="352">
        <v>27</v>
      </c>
      <c r="I6" s="352">
        <v>24.3</v>
      </c>
      <c r="J6" s="352">
        <v>24.7</v>
      </c>
      <c r="K6" s="352">
        <v>24.6</v>
      </c>
      <c r="L6" s="353">
        <v>25.7</v>
      </c>
      <c r="M6" s="353">
        <v>27</v>
      </c>
      <c r="N6" s="353">
        <v>25.9</v>
      </c>
      <c r="O6" s="353">
        <v>20</v>
      </c>
      <c r="P6" s="353">
        <v>28.1</v>
      </c>
      <c r="Q6" s="353">
        <v>23.1</v>
      </c>
      <c r="R6" s="353">
        <v>18.600000000000001</v>
      </c>
      <c r="S6" s="353">
        <v>18.899999999999999</v>
      </c>
      <c r="T6" s="353">
        <v>22.6</v>
      </c>
      <c r="U6" s="353">
        <v>24.9</v>
      </c>
      <c r="V6" s="353">
        <v>23</v>
      </c>
      <c r="W6" s="353">
        <v>31.7</v>
      </c>
      <c r="X6" s="353">
        <v>27.5</v>
      </c>
      <c r="Y6" s="353">
        <v>23.9</v>
      </c>
      <c r="Z6" s="353">
        <v>22.6</v>
      </c>
      <c r="AA6" s="353">
        <v>23.9</v>
      </c>
      <c r="AB6" s="353">
        <v>23.3</v>
      </c>
      <c r="AC6" s="353">
        <v>17.899999999999999</v>
      </c>
      <c r="AD6" s="353">
        <v>18</v>
      </c>
      <c r="AE6" s="353">
        <v>23.6</v>
      </c>
      <c r="AF6" s="353">
        <v>26</v>
      </c>
      <c r="AG6" s="353">
        <v>30.1</v>
      </c>
      <c r="AH6" s="353">
        <v>21.8</v>
      </c>
      <c r="AI6" s="353">
        <v>31.4</v>
      </c>
      <c r="AJ6" s="353">
        <v>23.4</v>
      </c>
      <c r="AK6" s="353">
        <v>16.3</v>
      </c>
      <c r="AL6" s="353">
        <v>22.9</v>
      </c>
      <c r="AM6" s="353">
        <v>20.9</v>
      </c>
      <c r="AN6" s="353">
        <v>22.3</v>
      </c>
      <c r="AO6" s="353">
        <v>25.7</v>
      </c>
      <c r="AP6" s="353">
        <v>23.1</v>
      </c>
      <c r="AQ6" s="353">
        <v>23.3</v>
      </c>
      <c r="AR6" s="353">
        <v>16.7</v>
      </c>
      <c r="AS6" s="353">
        <v>24</v>
      </c>
      <c r="AT6" s="353">
        <v>24.8</v>
      </c>
      <c r="AU6" s="353">
        <v>21.7</v>
      </c>
      <c r="AV6" s="353">
        <v>21.7</v>
      </c>
      <c r="AW6" s="353">
        <v>27.3</v>
      </c>
      <c r="AX6" s="353">
        <v>25.5</v>
      </c>
      <c r="AY6" s="353">
        <v>25.5</v>
      </c>
      <c r="AZ6" s="353">
        <v>21.5</v>
      </c>
      <c r="BA6" s="353">
        <v>18.600000000000001</v>
      </c>
    </row>
    <row r="7" spans="1:56" x14ac:dyDescent="0.2">
      <c r="A7" s="30">
        <v>4</v>
      </c>
      <c r="B7" s="30" t="s">
        <v>243</v>
      </c>
      <c r="D7" s="352">
        <v>1657419</v>
      </c>
      <c r="E7" s="352">
        <v>237947</v>
      </c>
      <c r="F7" s="352">
        <v>2009959</v>
      </c>
      <c r="G7" s="352">
        <v>1006040</v>
      </c>
      <c r="H7" s="352">
        <v>11754858</v>
      </c>
      <c r="I7" s="352">
        <v>1869617</v>
      </c>
      <c r="J7" s="352">
        <v>1336932</v>
      </c>
      <c r="K7" s="352">
        <v>336725</v>
      </c>
      <c r="L7" s="352">
        <v>6370889</v>
      </c>
      <c r="M7" s="352">
        <v>3297650</v>
      </c>
      <c r="N7" s="352">
        <v>436336</v>
      </c>
      <c r="O7" s="352">
        <v>521007</v>
      </c>
      <c r="P7" s="352">
        <v>4266676</v>
      </c>
      <c r="Q7" s="352">
        <v>2410502</v>
      </c>
      <c r="R7" s="352">
        <v>1218429</v>
      </c>
      <c r="S7" s="352">
        <v>1127767</v>
      </c>
      <c r="T7" s="352">
        <v>1505309</v>
      </c>
      <c r="U7" s="352">
        <v>1593560</v>
      </c>
      <c r="V7" s="352">
        <v>497407</v>
      </c>
      <c r="W7" s="352">
        <v>2091777</v>
      </c>
      <c r="X7" s="352">
        <v>2321683</v>
      </c>
      <c r="Y7" s="352">
        <v>3383793</v>
      </c>
      <c r="Z7" s="352">
        <v>2087066</v>
      </c>
      <c r="AA7" s="352">
        <v>974358</v>
      </c>
      <c r="AB7" s="352">
        <v>2202040</v>
      </c>
      <c r="AC7" s="352">
        <v>356849</v>
      </c>
      <c r="AD7" s="352">
        <v>756841</v>
      </c>
      <c r="AE7" s="352">
        <v>936303</v>
      </c>
      <c r="AF7" s="352">
        <v>540862</v>
      </c>
      <c r="AG7" s="352">
        <v>2917047</v>
      </c>
      <c r="AH7" s="352">
        <v>684327</v>
      </c>
      <c r="AI7" s="352">
        <v>4730231</v>
      </c>
      <c r="AJ7" s="352">
        <v>3390337</v>
      </c>
      <c r="AK7" s="352">
        <v>292271</v>
      </c>
      <c r="AL7" s="352">
        <v>4259642</v>
      </c>
      <c r="AM7" s="352">
        <v>1363404</v>
      </c>
      <c r="AN7" s="352">
        <v>1203016</v>
      </c>
      <c r="AO7" s="352">
        <v>4385476</v>
      </c>
      <c r="AP7" s="352">
        <v>402376</v>
      </c>
      <c r="AQ7" s="352">
        <v>1612082</v>
      </c>
      <c r="AR7" s="352">
        <v>319833</v>
      </c>
      <c r="AS7" s="352">
        <v>2299715</v>
      </c>
      <c r="AT7" s="352">
        <v>9045425</v>
      </c>
      <c r="AU7" s="352">
        <v>953984</v>
      </c>
      <c r="AV7" s="352">
        <v>235912</v>
      </c>
      <c r="AW7" s="352">
        <v>3032187</v>
      </c>
      <c r="AX7" s="352">
        <v>2269757</v>
      </c>
      <c r="AY7" s="352">
        <v>599089</v>
      </c>
      <c r="AZ7" s="352">
        <v>2212588</v>
      </c>
      <c r="BA7" s="352">
        <v>222423</v>
      </c>
    </row>
    <row r="8" spans="1:56" x14ac:dyDescent="0.2">
      <c r="A8" s="30">
        <v>5</v>
      </c>
      <c r="B8" s="30" t="s">
        <v>244</v>
      </c>
      <c r="D8" s="352">
        <v>194044</v>
      </c>
      <c r="E8" s="352">
        <v>43244</v>
      </c>
      <c r="F8" s="352">
        <v>308658</v>
      </c>
      <c r="G8" s="352">
        <v>125188</v>
      </c>
      <c r="H8" s="352">
        <v>1780802</v>
      </c>
      <c r="I8" s="352">
        <v>241770</v>
      </c>
      <c r="J8" s="352">
        <v>148783</v>
      </c>
      <c r="K8" s="352">
        <v>36871</v>
      </c>
      <c r="L8" s="352">
        <v>791693</v>
      </c>
      <c r="M8" s="352">
        <v>438045</v>
      </c>
      <c r="N8" s="352">
        <v>92436</v>
      </c>
      <c r="O8" s="352">
        <v>66108</v>
      </c>
      <c r="P8" s="352">
        <v>513689</v>
      </c>
      <c r="Q8" s="352">
        <v>254647</v>
      </c>
      <c r="R8" s="352">
        <v>134813</v>
      </c>
      <c r="S8" s="352">
        <v>138640</v>
      </c>
      <c r="T8" s="352">
        <v>171579</v>
      </c>
      <c r="U8" s="352">
        <v>197402</v>
      </c>
      <c r="V8" s="352">
        <v>62249</v>
      </c>
      <c r="W8" s="352">
        <v>288690</v>
      </c>
      <c r="X8" s="352">
        <v>263193</v>
      </c>
      <c r="Y8" s="352">
        <v>368327</v>
      </c>
      <c r="Z8" s="352">
        <v>249855</v>
      </c>
      <c r="AA8" s="352">
        <v>123660</v>
      </c>
      <c r="AB8" s="352">
        <v>263107</v>
      </c>
      <c r="AC8" s="352">
        <v>48941</v>
      </c>
      <c r="AD8" s="352">
        <v>87024</v>
      </c>
      <c r="AE8" s="352">
        <v>132460</v>
      </c>
      <c r="AF8" s="352">
        <v>57884</v>
      </c>
      <c r="AG8" s="352">
        <v>344286</v>
      </c>
      <c r="AH8" s="352">
        <v>86387</v>
      </c>
      <c r="AI8" s="352">
        <v>588090</v>
      </c>
      <c r="AJ8" s="352">
        <v>415821</v>
      </c>
      <c r="AK8" s="352">
        <v>35122</v>
      </c>
      <c r="AL8" s="352">
        <v>418378</v>
      </c>
      <c r="AM8" s="352">
        <v>180635</v>
      </c>
      <c r="AN8" s="352">
        <v>171310</v>
      </c>
      <c r="AO8" s="352">
        <v>519843</v>
      </c>
      <c r="AP8" s="352">
        <v>42984</v>
      </c>
      <c r="AQ8" s="352">
        <v>182292</v>
      </c>
      <c r="AR8" s="352">
        <v>40838</v>
      </c>
      <c r="AS8" s="352">
        <v>258280</v>
      </c>
      <c r="AT8" s="352">
        <v>1252849</v>
      </c>
      <c r="AU8" s="352">
        <v>150189</v>
      </c>
      <c r="AV8" s="352">
        <v>31532</v>
      </c>
      <c r="AW8" s="352">
        <v>355426</v>
      </c>
      <c r="AX8" s="352">
        <v>315066</v>
      </c>
      <c r="AY8" s="352">
        <v>76693</v>
      </c>
      <c r="AZ8" s="352">
        <v>246896</v>
      </c>
      <c r="BA8" s="352">
        <v>31067</v>
      </c>
    </row>
    <row r="9" spans="1:56" x14ac:dyDescent="0.2">
      <c r="A9" s="30">
        <v>6</v>
      </c>
      <c r="B9" s="30" t="s">
        <v>327</v>
      </c>
      <c r="D9" s="352">
        <v>1902148</v>
      </c>
      <c r="E9" s="352">
        <v>331902</v>
      </c>
      <c r="F9" s="352">
        <v>2504382</v>
      </c>
      <c r="G9" s="352">
        <v>1175268</v>
      </c>
      <c r="H9" s="352">
        <v>15189715</v>
      </c>
      <c r="I9" s="352">
        <v>2322794</v>
      </c>
      <c r="J9" s="352">
        <v>1638653</v>
      </c>
      <c r="K9" s="352">
        <v>400040</v>
      </c>
      <c r="L9" s="352">
        <v>7623767</v>
      </c>
      <c r="M9" s="352">
        <v>3960828</v>
      </c>
      <c r="N9" s="352">
        <v>620470</v>
      </c>
      <c r="O9" s="352">
        <v>631429</v>
      </c>
      <c r="P9" s="352">
        <v>5581817</v>
      </c>
      <c r="Q9" s="352">
        <v>2794239</v>
      </c>
      <c r="R9" s="352">
        <v>1443286</v>
      </c>
      <c r="S9" s="352">
        <v>1320101</v>
      </c>
      <c r="T9" s="352">
        <v>1758735</v>
      </c>
      <c r="U9" s="352">
        <v>1900081</v>
      </c>
      <c r="V9" s="352">
        <v>596765</v>
      </c>
      <c r="W9" s="352">
        <v>2738976</v>
      </c>
      <c r="X9" s="352">
        <v>3071931</v>
      </c>
      <c r="Y9" s="352">
        <v>3950408</v>
      </c>
      <c r="Z9" s="352">
        <v>2545304</v>
      </c>
      <c r="AA9" s="352">
        <v>1137355</v>
      </c>
      <c r="AB9" s="352">
        <v>2591609</v>
      </c>
      <c r="AC9" s="352">
        <v>443639</v>
      </c>
      <c r="AD9" s="352">
        <v>888020</v>
      </c>
      <c r="AE9" s="352">
        <v>1158745</v>
      </c>
      <c r="AF9" s="352">
        <v>631281</v>
      </c>
      <c r="AG9" s="352">
        <v>3904190</v>
      </c>
      <c r="AH9" s="352">
        <v>819408</v>
      </c>
      <c r="AI9" s="352">
        <v>8432594</v>
      </c>
      <c r="AJ9" s="352">
        <v>3986657</v>
      </c>
      <c r="AK9" s="352">
        <v>348261</v>
      </c>
      <c r="AL9" s="352">
        <v>4939489</v>
      </c>
      <c r="AM9" s="352">
        <v>1606769</v>
      </c>
      <c r="AN9" s="352">
        <v>1567660</v>
      </c>
      <c r="AO9" s="352">
        <v>5507797</v>
      </c>
      <c r="AP9" s="352">
        <v>482514</v>
      </c>
      <c r="AQ9" s="352">
        <v>1883929</v>
      </c>
      <c r="AR9" s="352">
        <v>387330</v>
      </c>
      <c r="AS9" s="352">
        <v>2648625</v>
      </c>
      <c r="AT9" s="352">
        <v>10861523</v>
      </c>
      <c r="AU9" s="352">
        <v>1188517</v>
      </c>
      <c r="AV9" s="352">
        <v>297743</v>
      </c>
      <c r="AW9" s="352">
        <v>3706328</v>
      </c>
      <c r="AX9" s="352">
        <v>2927279</v>
      </c>
      <c r="AY9" s="352">
        <v>707431</v>
      </c>
      <c r="AZ9" s="352">
        <v>2651803</v>
      </c>
      <c r="BA9" s="352">
        <v>274214</v>
      </c>
    </row>
    <row r="10" spans="1:56" x14ac:dyDescent="0.2">
      <c r="A10" s="30">
        <v>7</v>
      </c>
      <c r="B10" s="30" t="s">
        <v>328</v>
      </c>
      <c r="D10" s="184">
        <f>D7+(0.5*D8)</f>
        <v>1754441</v>
      </c>
      <c r="E10" s="184">
        <f t="shared" ref="E10:BA10" si="45">E7+(0.5*E8)</f>
        <v>259569</v>
      </c>
      <c r="F10" s="184">
        <f t="shared" si="45"/>
        <v>2164288</v>
      </c>
      <c r="G10" s="184">
        <f t="shared" si="45"/>
        <v>1068634</v>
      </c>
      <c r="H10" s="184">
        <f t="shared" si="45"/>
        <v>12645259</v>
      </c>
      <c r="I10" s="184">
        <f t="shared" si="45"/>
        <v>1990502</v>
      </c>
      <c r="J10" s="184">
        <f t="shared" si="45"/>
        <v>1411323.5</v>
      </c>
      <c r="K10" s="184">
        <f t="shared" si="45"/>
        <v>355160.5</v>
      </c>
      <c r="L10" s="184">
        <f t="shared" si="45"/>
        <v>6766735.5</v>
      </c>
      <c r="M10" s="184">
        <f t="shared" si="45"/>
        <v>3516672.5</v>
      </c>
      <c r="N10" s="184">
        <f t="shared" si="45"/>
        <v>482554</v>
      </c>
      <c r="O10" s="184">
        <f t="shared" si="45"/>
        <v>554061</v>
      </c>
      <c r="P10" s="184">
        <f t="shared" si="45"/>
        <v>4523520.5</v>
      </c>
      <c r="Q10" s="184">
        <f t="shared" si="45"/>
        <v>2537825.5</v>
      </c>
      <c r="R10" s="184">
        <f t="shared" si="45"/>
        <v>1285835.5</v>
      </c>
      <c r="S10" s="184">
        <f t="shared" si="45"/>
        <v>1197087</v>
      </c>
      <c r="T10" s="184">
        <f t="shared" si="45"/>
        <v>1591098.5</v>
      </c>
      <c r="U10" s="184">
        <f t="shared" si="45"/>
        <v>1692261</v>
      </c>
      <c r="V10" s="184">
        <f t="shared" si="45"/>
        <v>528531.5</v>
      </c>
      <c r="W10" s="184">
        <f t="shared" si="45"/>
        <v>2236122</v>
      </c>
      <c r="X10" s="184">
        <f t="shared" si="45"/>
        <v>2453279.5</v>
      </c>
      <c r="Y10" s="184">
        <f t="shared" si="45"/>
        <v>3567956.5</v>
      </c>
      <c r="Z10" s="184">
        <f t="shared" si="45"/>
        <v>2211993.5</v>
      </c>
      <c r="AA10" s="184">
        <f t="shared" si="45"/>
        <v>1036188</v>
      </c>
      <c r="AB10" s="184">
        <f t="shared" si="45"/>
        <v>2333593.5</v>
      </c>
      <c r="AC10" s="184">
        <f t="shared" si="45"/>
        <v>381319.5</v>
      </c>
      <c r="AD10" s="184">
        <f t="shared" si="45"/>
        <v>800353</v>
      </c>
      <c r="AE10" s="184">
        <f t="shared" si="45"/>
        <v>1002533</v>
      </c>
      <c r="AF10" s="184">
        <f t="shared" si="45"/>
        <v>569804</v>
      </c>
      <c r="AG10" s="184">
        <f t="shared" si="45"/>
        <v>3089190</v>
      </c>
      <c r="AH10" s="184">
        <f t="shared" si="45"/>
        <v>727520.5</v>
      </c>
      <c r="AI10" s="184">
        <f t="shared" si="45"/>
        <v>5024276</v>
      </c>
      <c r="AJ10" s="184">
        <f t="shared" si="45"/>
        <v>3598247.5</v>
      </c>
      <c r="AK10" s="184">
        <f t="shared" si="45"/>
        <v>309832</v>
      </c>
      <c r="AL10" s="184">
        <f t="shared" si="45"/>
        <v>4468831</v>
      </c>
      <c r="AM10" s="184">
        <f t="shared" si="45"/>
        <v>1453721.5</v>
      </c>
      <c r="AN10" s="184">
        <f t="shared" si="45"/>
        <v>1288671</v>
      </c>
      <c r="AO10" s="184">
        <f t="shared" si="45"/>
        <v>4645397.5</v>
      </c>
      <c r="AP10" s="184">
        <f t="shared" si="45"/>
        <v>423868</v>
      </c>
      <c r="AQ10" s="184">
        <f t="shared" si="45"/>
        <v>1703228</v>
      </c>
      <c r="AR10" s="184">
        <f t="shared" si="45"/>
        <v>340252</v>
      </c>
      <c r="AS10" s="184">
        <f t="shared" si="45"/>
        <v>2428855</v>
      </c>
      <c r="AT10" s="184">
        <f t="shared" si="45"/>
        <v>9671849.5</v>
      </c>
      <c r="AU10" s="184">
        <f t="shared" si="45"/>
        <v>1029078.5</v>
      </c>
      <c r="AV10" s="184">
        <f t="shared" si="45"/>
        <v>251678</v>
      </c>
      <c r="AW10" s="184">
        <f t="shared" si="45"/>
        <v>3209900</v>
      </c>
      <c r="AX10" s="184">
        <f t="shared" si="45"/>
        <v>2427290</v>
      </c>
      <c r="AY10" s="184">
        <f t="shared" si="45"/>
        <v>637435.5</v>
      </c>
      <c r="AZ10" s="184">
        <f t="shared" si="45"/>
        <v>2336036</v>
      </c>
      <c r="BA10" s="184">
        <f t="shared" si="45"/>
        <v>237956.5</v>
      </c>
    </row>
    <row r="11" spans="1:56" x14ac:dyDescent="0.2">
      <c r="A11" s="187">
        <v>8</v>
      </c>
      <c r="B11" s="235" t="s">
        <v>941</v>
      </c>
      <c r="C11" s="354">
        <v>1.24</v>
      </c>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row>
    <row r="12" spans="1:56" x14ac:dyDescent="0.2">
      <c r="A12" s="30">
        <v>9</v>
      </c>
      <c r="B12" s="30" t="s">
        <v>329</v>
      </c>
      <c r="C12" s="457">
        <f>AVERAGE(D12:BA12)</f>
        <v>29.100319999999996</v>
      </c>
      <c r="D12" s="184">
        <f t="shared" ref="D12:AH12" si="46">D6*$C11</f>
        <v>29.759999999999998</v>
      </c>
      <c r="E12" s="184">
        <f t="shared" si="46"/>
        <v>22.567999999999998</v>
      </c>
      <c r="F12" s="184">
        <f t="shared" si="46"/>
        <v>30.628</v>
      </c>
      <c r="G12" s="184">
        <f t="shared" si="46"/>
        <v>26.288</v>
      </c>
      <c r="H12" s="184">
        <f t="shared" si="46"/>
        <v>33.479999999999997</v>
      </c>
      <c r="I12" s="184">
        <f t="shared" si="46"/>
        <v>30.132000000000001</v>
      </c>
      <c r="J12" s="184">
        <f t="shared" si="46"/>
        <v>30.628</v>
      </c>
      <c r="K12" s="184">
        <f t="shared" si="46"/>
        <v>30.504000000000001</v>
      </c>
      <c r="L12" s="184">
        <f t="shared" si="46"/>
        <v>31.867999999999999</v>
      </c>
      <c r="M12" s="184">
        <f t="shared" si="46"/>
        <v>33.479999999999997</v>
      </c>
      <c r="N12" s="184">
        <f t="shared" si="46"/>
        <v>32.116</v>
      </c>
      <c r="O12" s="184">
        <f t="shared" si="46"/>
        <v>24.8</v>
      </c>
      <c r="P12" s="184">
        <f t="shared" si="46"/>
        <v>34.844000000000001</v>
      </c>
      <c r="Q12" s="184">
        <f t="shared" si="46"/>
        <v>28.644000000000002</v>
      </c>
      <c r="R12" s="184">
        <f t="shared" si="46"/>
        <v>23.064</v>
      </c>
      <c r="S12" s="184">
        <f t="shared" si="46"/>
        <v>23.435999999999996</v>
      </c>
      <c r="T12" s="184">
        <f t="shared" si="46"/>
        <v>28.024000000000001</v>
      </c>
      <c r="U12" s="184">
        <f t="shared" si="46"/>
        <v>30.875999999999998</v>
      </c>
      <c r="V12" s="184">
        <f t="shared" si="46"/>
        <v>28.52</v>
      </c>
      <c r="W12" s="184">
        <f t="shared" si="46"/>
        <v>39.308</v>
      </c>
      <c r="X12" s="184">
        <f t="shared" si="46"/>
        <v>34.1</v>
      </c>
      <c r="Y12" s="184">
        <f t="shared" si="46"/>
        <v>29.635999999999999</v>
      </c>
      <c r="Z12" s="184">
        <f t="shared" si="46"/>
        <v>28.024000000000001</v>
      </c>
      <c r="AA12" s="184">
        <f t="shared" si="46"/>
        <v>29.635999999999999</v>
      </c>
      <c r="AB12" s="184">
        <f t="shared" si="46"/>
        <v>28.891999999999999</v>
      </c>
      <c r="AC12" s="184">
        <f t="shared" si="46"/>
        <v>22.195999999999998</v>
      </c>
      <c r="AD12" s="184">
        <f t="shared" si="46"/>
        <v>22.32</v>
      </c>
      <c r="AE12" s="184">
        <f t="shared" si="46"/>
        <v>29.264000000000003</v>
      </c>
      <c r="AF12" s="184">
        <f t="shared" si="46"/>
        <v>32.24</v>
      </c>
      <c r="AG12" s="184">
        <f t="shared" si="46"/>
        <v>37.323999999999998</v>
      </c>
      <c r="AH12" s="184">
        <f t="shared" si="46"/>
        <v>27.032</v>
      </c>
      <c r="AI12" s="184">
        <f t="shared" ref="AI12:BA12" si="47">AI6*$C11</f>
        <v>38.936</v>
      </c>
      <c r="AJ12" s="184">
        <f t="shared" si="47"/>
        <v>29.015999999999998</v>
      </c>
      <c r="AK12" s="184">
        <f t="shared" si="47"/>
        <v>20.212</v>
      </c>
      <c r="AL12" s="184">
        <f t="shared" si="47"/>
        <v>28.395999999999997</v>
      </c>
      <c r="AM12" s="184">
        <f t="shared" si="47"/>
        <v>25.915999999999997</v>
      </c>
      <c r="AN12" s="184">
        <f t="shared" si="47"/>
        <v>27.652000000000001</v>
      </c>
      <c r="AO12" s="184">
        <f t="shared" si="47"/>
        <v>31.867999999999999</v>
      </c>
      <c r="AP12" s="184">
        <f t="shared" si="47"/>
        <v>28.644000000000002</v>
      </c>
      <c r="AQ12" s="184">
        <f t="shared" si="47"/>
        <v>28.891999999999999</v>
      </c>
      <c r="AR12" s="184">
        <f t="shared" si="47"/>
        <v>20.707999999999998</v>
      </c>
      <c r="AS12" s="184">
        <f t="shared" si="47"/>
        <v>29.759999999999998</v>
      </c>
      <c r="AT12" s="184">
        <f t="shared" si="47"/>
        <v>30.751999999999999</v>
      </c>
      <c r="AU12" s="184">
        <f t="shared" si="47"/>
        <v>26.907999999999998</v>
      </c>
      <c r="AV12" s="184">
        <f t="shared" si="47"/>
        <v>26.907999999999998</v>
      </c>
      <c r="AW12" s="184">
        <f t="shared" si="47"/>
        <v>33.852000000000004</v>
      </c>
      <c r="AX12" s="184">
        <f t="shared" si="47"/>
        <v>31.62</v>
      </c>
      <c r="AY12" s="184">
        <f t="shared" si="47"/>
        <v>31.62</v>
      </c>
      <c r="AZ12" s="184">
        <f t="shared" si="47"/>
        <v>26.66</v>
      </c>
      <c r="BA12" s="184">
        <f t="shared" si="47"/>
        <v>23.064</v>
      </c>
    </row>
    <row r="13" spans="1:56" x14ac:dyDescent="0.2">
      <c r="A13" s="187">
        <v>10</v>
      </c>
      <c r="B13" s="356" t="s">
        <v>945</v>
      </c>
      <c r="C13" s="355">
        <v>0.44</v>
      </c>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row>
    <row r="14" spans="1:56" x14ac:dyDescent="0.2">
      <c r="A14" s="30">
        <v>11</v>
      </c>
      <c r="B14" s="30" t="s">
        <v>330</v>
      </c>
      <c r="C14" s="455">
        <f>SUM(D14:BA14)*0.3</f>
        <v>461903439.57648003</v>
      </c>
      <c r="D14" s="359">
        <f>D10*D12*$C13</f>
        <v>22973352.2304</v>
      </c>
      <c r="E14" s="357">
        <f>E10*E12*$C13</f>
        <v>2577499.40448</v>
      </c>
      <c r="F14" s="357">
        <f t="shared" ref="F14:BA14" si="48">F10*F12*$C13</f>
        <v>29166637.660160001</v>
      </c>
      <c r="G14" s="357">
        <f t="shared" si="48"/>
        <v>12360590.26048</v>
      </c>
      <c r="H14" s="357">
        <f t="shared" si="48"/>
        <v>186279839.38079998</v>
      </c>
      <c r="I14" s="357">
        <f t="shared" si="48"/>
        <v>26390234.756160002</v>
      </c>
      <c r="J14" s="357">
        <f t="shared" si="48"/>
        <v>19019447.109519999</v>
      </c>
      <c r="K14" s="357">
        <f t="shared" si="48"/>
        <v>4766878.9924800005</v>
      </c>
      <c r="L14" s="357">
        <f t="shared" si="48"/>
        <v>94882623.842160001</v>
      </c>
      <c r="M14" s="357">
        <f t="shared" si="48"/>
        <v>51804805.931999989</v>
      </c>
      <c r="N14" s="357">
        <f t="shared" si="48"/>
        <v>6818989.8761600005</v>
      </c>
      <c r="O14" s="357">
        <f t="shared" si="48"/>
        <v>6045913.6320000002</v>
      </c>
      <c r="P14" s="357">
        <f t="shared" si="48"/>
        <v>69351721.252880007</v>
      </c>
      <c r="Q14" s="357">
        <f t="shared" si="48"/>
        <v>31985128.393680003</v>
      </c>
      <c r="R14" s="357">
        <f t="shared" si="48"/>
        <v>13048864.38768</v>
      </c>
      <c r="S14" s="357">
        <f t="shared" si="48"/>
        <v>12344169.610079998</v>
      </c>
      <c r="T14" s="357">
        <f t="shared" si="48"/>
        <v>19619135.520160001</v>
      </c>
      <c r="U14" s="357">
        <f t="shared" si="48"/>
        <v>22990110.279839996</v>
      </c>
      <c r="V14" s="357">
        <f t="shared" si="48"/>
        <v>6632436.0872</v>
      </c>
      <c r="W14" s="357">
        <f t="shared" si="48"/>
        <v>38674892.773440003</v>
      </c>
      <c r="X14" s="357">
        <f t="shared" si="48"/>
        <v>36809005.618000001</v>
      </c>
      <c r="Y14" s="357">
        <f t="shared" si="48"/>
        <v>46525581.88696</v>
      </c>
      <c r="Z14" s="357">
        <f t="shared" si="48"/>
        <v>27275118.571360003</v>
      </c>
      <c r="AA14" s="357">
        <f t="shared" si="48"/>
        <v>13511725.72992</v>
      </c>
      <c r="AB14" s="357">
        <f t="shared" si="48"/>
        <v>29665760.696879998</v>
      </c>
      <c r="AC14" s="357">
        <f t="shared" si="48"/>
        <v>3724057.7536799996</v>
      </c>
      <c r="AD14" s="357">
        <f t="shared" si="48"/>
        <v>7860106.7424000008</v>
      </c>
      <c r="AE14" s="357">
        <f t="shared" si="48"/>
        <v>12908775.313280001</v>
      </c>
      <c r="AF14" s="357">
        <f t="shared" si="48"/>
        <v>8083011.6224000007</v>
      </c>
      <c r="AG14" s="357">
        <f t="shared" si="48"/>
        <v>50732408.126399994</v>
      </c>
      <c r="AH14" s="357">
        <f t="shared" si="48"/>
        <v>8653187.0286400001</v>
      </c>
      <c r="AI14" s="357">
        <f t="shared" si="48"/>
        <v>86075092.547839999</v>
      </c>
      <c r="AJ14" s="357">
        <f t="shared" si="48"/>
        <v>45938969.762399994</v>
      </c>
      <c r="AK14" s="357">
        <f t="shared" si="48"/>
        <v>2755422.72896</v>
      </c>
      <c r="AL14" s="357">
        <f t="shared" si="48"/>
        <v>55834647.033439994</v>
      </c>
      <c r="AM14" s="357">
        <f t="shared" si="48"/>
        <v>16576844.413359998</v>
      </c>
      <c r="AN14" s="357">
        <f t="shared" si="48"/>
        <v>15679105.416479999</v>
      </c>
      <c r="AO14" s="357">
        <f t="shared" si="48"/>
        <v>65137392.113200001</v>
      </c>
      <c r="AP14" s="357">
        <f t="shared" si="48"/>
        <v>5342160.9964800002</v>
      </c>
      <c r="AQ14" s="357">
        <f t="shared" si="48"/>
        <v>21652251.885439999</v>
      </c>
      <c r="AR14" s="357">
        <f t="shared" si="48"/>
        <v>3100212.9030399998</v>
      </c>
      <c r="AS14" s="357">
        <f t="shared" si="48"/>
        <v>31804398.912</v>
      </c>
      <c r="AT14" s="357">
        <f t="shared" si="48"/>
        <v>130868634.96256</v>
      </c>
      <c r="AU14" s="357">
        <f t="shared" si="48"/>
        <v>12183795.482319999</v>
      </c>
      <c r="AV14" s="357">
        <f t="shared" si="48"/>
        <v>2979746.7145599998</v>
      </c>
      <c r="AW14" s="357">
        <f t="shared" si="48"/>
        <v>47811075.312000006</v>
      </c>
      <c r="AX14" s="357">
        <f t="shared" si="48"/>
        <v>33770400.311999999</v>
      </c>
      <c r="AY14" s="357">
        <f t="shared" si="48"/>
        <v>8868512.624400001</v>
      </c>
      <c r="AZ14" s="357">
        <f t="shared" si="48"/>
        <v>27402636.694399998</v>
      </c>
      <c r="BA14" s="357">
        <f t="shared" si="48"/>
        <v>2414820.6350400001</v>
      </c>
    </row>
    <row r="15" spans="1:56" x14ac:dyDescent="0.2">
      <c r="A15" s="30">
        <v>12</v>
      </c>
      <c r="B15" s="30" t="s">
        <v>331</v>
      </c>
      <c r="D15" s="359">
        <f>((D9*D6*2)/60)*250</f>
        <v>380429600</v>
      </c>
      <c r="E15" s="357">
        <f t="shared" ref="E15:BA15" si="49">((E9*E6*2)/60)*250</f>
        <v>50338469.999999993</v>
      </c>
      <c r="F15" s="357">
        <f t="shared" si="49"/>
        <v>515485295</v>
      </c>
      <c r="G15" s="357">
        <f t="shared" si="49"/>
        <v>207630680</v>
      </c>
      <c r="H15" s="357">
        <f t="shared" si="49"/>
        <v>3417685875</v>
      </c>
      <c r="I15" s="357">
        <f t="shared" si="49"/>
        <v>470365785.00000006</v>
      </c>
      <c r="J15" s="357">
        <f t="shared" si="49"/>
        <v>337289409.16666669</v>
      </c>
      <c r="K15" s="357">
        <f t="shared" si="49"/>
        <v>82008200</v>
      </c>
      <c r="L15" s="357">
        <f t="shared" si="49"/>
        <v>1632756765.8333333</v>
      </c>
      <c r="M15" s="357">
        <f t="shared" si="49"/>
        <v>891186300</v>
      </c>
      <c r="N15" s="357">
        <f t="shared" si="49"/>
        <v>133918108.33333334</v>
      </c>
      <c r="O15" s="357">
        <f t="shared" si="49"/>
        <v>105238166.66666667</v>
      </c>
      <c r="P15" s="357">
        <f t="shared" si="49"/>
        <v>1307075480.8333335</v>
      </c>
      <c r="Q15" s="357">
        <f t="shared" si="49"/>
        <v>537891007.50000012</v>
      </c>
      <c r="R15" s="357">
        <f t="shared" si="49"/>
        <v>223709330.00000003</v>
      </c>
      <c r="S15" s="357">
        <f t="shared" si="49"/>
        <v>207915907.5</v>
      </c>
      <c r="T15" s="357">
        <f t="shared" si="49"/>
        <v>331228425</v>
      </c>
      <c r="U15" s="357">
        <f t="shared" si="49"/>
        <v>394266807.5</v>
      </c>
      <c r="V15" s="357">
        <f t="shared" si="49"/>
        <v>114379958.33333333</v>
      </c>
      <c r="W15" s="357">
        <f t="shared" si="49"/>
        <v>723546160</v>
      </c>
      <c r="X15" s="357">
        <f t="shared" si="49"/>
        <v>703984187.5</v>
      </c>
      <c r="Y15" s="357">
        <f t="shared" si="49"/>
        <v>786789593.33333325</v>
      </c>
      <c r="Z15" s="357">
        <f t="shared" si="49"/>
        <v>479365586.66666675</v>
      </c>
      <c r="AA15" s="357">
        <f t="shared" si="49"/>
        <v>226523204.16666666</v>
      </c>
      <c r="AB15" s="357">
        <f t="shared" si="49"/>
        <v>503204080.83333337</v>
      </c>
      <c r="AC15" s="357">
        <f t="shared" si="49"/>
        <v>66176150.833333336</v>
      </c>
      <c r="AD15" s="357">
        <f t="shared" si="49"/>
        <v>133203000</v>
      </c>
      <c r="AE15" s="357">
        <f t="shared" si="49"/>
        <v>227886516.66666666</v>
      </c>
      <c r="AF15" s="357">
        <f t="shared" si="49"/>
        <v>136777550</v>
      </c>
      <c r="AG15" s="357">
        <f t="shared" si="49"/>
        <v>979300991.66666675</v>
      </c>
      <c r="AH15" s="357">
        <f t="shared" si="49"/>
        <v>148859120.00000003</v>
      </c>
      <c r="AI15" s="357">
        <f t="shared" si="49"/>
        <v>2206528763.333333</v>
      </c>
      <c r="AJ15" s="357">
        <f t="shared" si="49"/>
        <v>777398115</v>
      </c>
      <c r="AK15" s="357">
        <f t="shared" si="49"/>
        <v>47305452.5</v>
      </c>
      <c r="AL15" s="357">
        <f t="shared" si="49"/>
        <v>942619150.83333325</v>
      </c>
      <c r="AM15" s="357">
        <f t="shared" si="49"/>
        <v>279845600.83333325</v>
      </c>
      <c r="AN15" s="357">
        <f t="shared" si="49"/>
        <v>291323483.33333331</v>
      </c>
      <c r="AO15" s="357">
        <f t="shared" si="49"/>
        <v>1179586524.1666667</v>
      </c>
      <c r="AP15" s="357">
        <f t="shared" si="49"/>
        <v>92883945</v>
      </c>
      <c r="AQ15" s="357">
        <f t="shared" si="49"/>
        <v>365796214.16666669</v>
      </c>
      <c r="AR15" s="357">
        <f t="shared" si="49"/>
        <v>53903425</v>
      </c>
      <c r="AS15" s="357">
        <f t="shared" si="49"/>
        <v>529725000</v>
      </c>
      <c r="AT15" s="357">
        <f t="shared" si="49"/>
        <v>2244714753.3333335</v>
      </c>
      <c r="AU15" s="357">
        <f t="shared" si="49"/>
        <v>214923490.83333331</v>
      </c>
      <c r="AV15" s="357">
        <f t="shared" si="49"/>
        <v>53841859.166666664</v>
      </c>
      <c r="AW15" s="357">
        <f t="shared" si="49"/>
        <v>843189620</v>
      </c>
      <c r="AX15" s="357">
        <f t="shared" si="49"/>
        <v>622046787.5</v>
      </c>
      <c r="AY15" s="357">
        <f t="shared" si="49"/>
        <v>150329087.5</v>
      </c>
      <c r="AZ15" s="357">
        <f t="shared" si="49"/>
        <v>475114704.16666669</v>
      </c>
      <c r="BA15" s="357">
        <f t="shared" si="49"/>
        <v>42503170.000000007</v>
      </c>
    </row>
    <row r="16" spans="1:56" x14ac:dyDescent="0.2">
      <c r="A16" s="30">
        <v>13</v>
      </c>
      <c r="B16" s="30" t="s">
        <v>332</v>
      </c>
      <c r="D16" s="420">
        <f t="shared" ref="D16:AH16" si="50">AverageWageRate</f>
        <v>18.83653846153846</v>
      </c>
      <c r="E16" s="420">
        <f t="shared" si="50"/>
        <v>24.802884615384617</v>
      </c>
      <c r="F16" s="420">
        <f t="shared" si="50"/>
        <v>20.995192307692307</v>
      </c>
      <c r="G16" s="420">
        <f t="shared" si="50"/>
        <v>17.471153846153847</v>
      </c>
      <c r="H16" s="420">
        <f t="shared" si="50"/>
        <v>24.956730769230766</v>
      </c>
      <c r="I16" s="420">
        <f t="shared" si="50"/>
        <v>22.841346153846153</v>
      </c>
      <c r="J16" s="420">
        <f t="shared" si="50"/>
        <v>25.39903846153846</v>
      </c>
      <c r="K16" s="420">
        <f t="shared" si="50"/>
        <v>22.798076923076923</v>
      </c>
      <c r="L16" s="420">
        <f t="shared" si="50"/>
        <v>19.591346153846153</v>
      </c>
      <c r="M16" s="420">
        <f t="shared" si="50"/>
        <v>20.47596153846154</v>
      </c>
      <c r="N16" s="420">
        <f t="shared" si="50"/>
        <v>21.442307692307693</v>
      </c>
      <c r="O16" s="420">
        <f t="shared" si="50"/>
        <v>18.519230769230766</v>
      </c>
      <c r="P16" s="420">
        <f t="shared" si="50"/>
        <v>22.379807692307693</v>
      </c>
      <c r="Q16" s="420">
        <f t="shared" si="50"/>
        <v>19.08653846153846</v>
      </c>
      <c r="R16" s="420">
        <f t="shared" si="50"/>
        <v>18.66346153846154</v>
      </c>
      <c r="S16" s="420">
        <f t="shared" si="50"/>
        <v>19.245192307692307</v>
      </c>
      <c r="T16" s="420">
        <f t="shared" si="50"/>
        <v>18.576923076923077</v>
      </c>
      <c r="U16" s="420">
        <f t="shared" si="50"/>
        <v>18.644230769230766</v>
      </c>
      <c r="V16" s="420">
        <f t="shared" si="50"/>
        <v>19.322115384615383</v>
      </c>
      <c r="W16" s="420">
        <f t="shared" si="50"/>
        <v>24.932692307692307</v>
      </c>
      <c r="X16" s="420">
        <f t="shared" si="50"/>
        <v>26.31730769230769</v>
      </c>
      <c r="Y16" s="420">
        <f t="shared" si="50"/>
        <v>21.009615384615383</v>
      </c>
      <c r="Z16" s="420">
        <f t="shared" si="50"/>
        <v>22.1875</v>
      </c>
      <c r="AA16" s="420">
        <f t="shared" si="50"/>
        <v>16.716346153846153</v>
      </c>
      <c r="AB16" s="420">
        <f t="shared" si="50"/>
        <v>19.471153846153847</v>
      </c>
      <c r="AC16" s="420">
        <f t="shared" si="50"/>
        <v>17.71153846153846</v>
      </c>
      <c r="AD16" s="420">
        <f t="shared" si="50"/>
        <v>18.817307692307693</v>
      </c>
      <c r="AE16" s="420">
        <f t="shared" si="50"/>
        <v>20.125</v>
      </c>
      <c r="AF16" s="420">
        <f t="shared" si="50"/>
        <v>21.740384615384617</v>
      </c>
      <c r="AG16" s="420">
        <f t="shared" si="50"/>
        <v>24.778846153846153</v>
      </c>
      <c r="AH16" s="420">
        <f t="shared" si="50"/>
        <v>19.610576923076923</v>
      </c>
      <c r="AI16" s="420">
        <f t="shared" ref="AI16:BA16" si="51">AverageWageRate</f>
        <v>25.389423076923077</v>
      </c>
      <c r="AJ16" s="420">
        <f t="shared" si="51"/>
        <v>19.831730769230766</v>
      </c>
      <c r="AK16" s="420">
        <f t="shared" si="51"/>
        <v>18.6875</v>
      </c>
      <c r="AL16" s="420">
        <f t="shared" si="51"/>
        <v>19.995192307692307</v>
      </c>
      <c r="AM16" s="420">
        <f t="shared" si="51"/>
        <v>18.360576923076923</v>
      </c>
      <c r="AN16" s="420">
        <f t="shared" si="51"/>
        <v>21.293269230769234</v>
      </c>
      <c r="AO16" s="420">
        <f t="shared" si="51"/>
        <v>21.1875</v>
      </c>
      <c r="AP16" s="420">
        <f t="shared" si="51"/>
        <v>22.783653846153847</v>
      </c>
      <c r="AQ16" s="420">
        <f t="shared" si="51"/>
        <v>18.53846153846154</v>
      </c>
      <c r="AR16" s="420">
        <f t="shared" si="51"/>
        <v>17.014423076923077</v>
      </c>
      <c r="AS16" s="420">
        <f t="shared" si="51"/>
        <v>18.8125</v>
      </c>
      <c r="AT16" s="420">
        <f t="shared" si="51"/>
        <v>20.716346153846153</v>
      </c>
      <c r="AU16" s="420">
        <f t="shared" si="51"/>
        <v>19.6875</v>
      </c>
      <c r="AV16" s="420">
        <f t="shared" si="51"/>
        <v>20.71153846153846</v>
      </c>
      <c r="AW16" s="420">
        <f t="shared" si="51"/>
        <v>23.495192307692307</v>
      </c>
      <c r="AX16" s="420">
        <f t="shared" si="51"/>
        <v>24.173076923076923</v>
      </c>
      <c r="AY16" s="420">
        <f t="shared" si="51"/>
        <v>17.41346153846154</v>
      </c>
      <c r="AZ16" s="420">
        <f t="shared" si="51"/>
        <v>19.91346153846154</v>
      </c>
      <c r="BA16" s="420">
        <f t="shared" si="51"/>
        <v>20.4375</v>
      </c>
    </row>
    <row r="17" spans="1:53" x14ac:dyDescent="0.2">
      <c r="A17" s="30">
        <v>14</v>
      </c>
      <c r="B17" s="30" t="s">
        <v>333</v>
      </c>
      <c r="C17" s="455">
        <f>SUM(D17:BA17)</f>
        <v>396809021635.80219</v>
      </c>
      <c r="D17" s="359">
        <f>D15*D16*0.65</f>
        <v>4657884915</v>
      </c>
      <c r="E17" s="359">
        <f t="shared" ref="E17:BA17" si="52">E15*E16*0.65</f>
        <v>811550521.03125</v>
      </c>
      <c r="F17" s="359">
        <f t="shared" si="52"/>
        <v>7034763385.203125</v>
      </c>
      <c r="G17" s="359">
        <f t="shared" si="52"/>
        <v>2357905909.7500005</v>
      </c>
      <c r="H17" s="359">
        <f t="shared" si="52"/>
        <v>55441273053.515617</v>
      </c>
      <c r="I17" s="359">
        <f t="shared" si="52"/>
        <v>6983462014.171876</v>
      </c>
      <c r="J17" s="359">
        <f t="shared" si="52"/>
        <v>5568437339.4609375</v>
      </c>
      <c r="K17" s="359">
        <f t="shared" si="52"/>
        <v>1215259013.75</v>
      </c>
      <c r="L17" s="359">
        <f t="shared" si="52"/>
        <v>20792136939.908855</v>
      </c>
      <c r="M17" s="359">
        <f t="shared" si="52"/>
        <v>11861132661.5625</v>
      </c>
      <c r="N17" s="359">
        <f t="shared" si="52"/>
        <v>1866483634.8958337</v>
      </c>
      <c r="O17" s="359">
        <f t="shared" si="52"/>
        <v>1266804431.2499998</v>
      </c>
      <c r="P17" s="359">
        <f t="shared" si="52"/>
        <v>19013863635.247402</v>
      </c>
      <c r="Q17" s="359">
        <f t="shared" si="52"/>
        <v>6673210311.7968769</v>
      </c>
      <c r="R17" s="359">
        <f t="shared" si="52"/>
        <v>2713873809.5625005</v>
      </c>
      <c r="S17" s="359">
        <f t="shared" si="52"/>
        <v>2600898055.3828125</v>
      </c>
      <c r="T17" s="359">
        <f t="shared" si="52"/>
        <v>3999583231.875</v>
      </c>
      <c r="U17" s="359">
        <f t="shared" si="52"/>
        <v>4778020873.390624</v>
      </c>
      <c r="V17" s="359">
        <f t="shared" si="52"/>
        <v>1436540789.1927083</v>
      </c>
      <c r="W17" s="359">
        <f t="shared" si="52"/>
        <v>11725969955.5</v>
      </c>
      <c r="X17" s="359">
        <f t="shared" si="52"/>
        <v>12042529507.421875</v>
      </c>
      <c r="Y17" s="359">
        <f t="shared" si="52"/>
        <v>10744595383.958332</v>
      </c>
      <c r="Z17" s="359">
        <f t="shared" si="52"/>
        <v>6913350570.208334</v>
      </c>
      <c r="AA17" s="359">
        <f t="shared" si="52"/>
        <v>2461316190.2734375</v>
      </c>
      <c r="AB17" s="359">
        <f t="shared" si="52"/>
        <v>6368676648.046876</v>
      </c>
      <c r="AC17" s="359">
        <f t="shared" si="52"/>
        <v>761852936.46875</v>
      </c>
      <c r="AD17" s="359">
        <f t="shared" si="52"/>
        <v>1629239193.7500002</v>
      </c>
      <c r="AE17" s="359">
        <f t="shared" si="52"/>
        <v>2981040496.145833</v>
      </c>
      <c r="AF17" s="359">
        <f t="shared" si="52"/>
        <v>1932837753.4375</v>
      </c>
      <c r="AG17" s="359">
        <f t="shared" si="52"/>
        <v>15772866597.031252</v>
      </c>
      <c r="AH17" s="359">
        <f t="shared" si="52"/>
        <v>1897488595.2500005</v>
      </c>
      <c r="AI17" s="359">
        <f t="shared" si="52"/>
        <v>36414619997.385414</v>
      </c>
      <c r="AJ17" s="359">
        <f t="shared" si="52"/>
        <v>10021147576.171875</v>
      </c>
      <c r="AK17" s="359">
        <f t="shared" si="52"/>
        <v>574613418.3359375</v>
      </c>
      <c r="AL17" s="359">
        <f t="shared" si="52"/>
        <v>12251103275.986977</v>
      </c>
      <c r="AM17" s="359">
        <f t="shared" si="52"/>
        <v>3339782342.4453115</v>
      </c>
      <c r="AN17" s="359">
        <f t="shared" si="52"/>
        <v>4032099086.510417</v>
      </c>
      <c r="AO17" s="359">
        <f t="shared" si="52"/>
        <v>16245118162.507812</v>
      </c>
      <c r="AP17" s="359">
        <f t="shared" si="52"/>
        <v>1375553172.984375</v>
      </c>
      <c r="AQ17" s="359">
        <f t="shared" si="52"/>
        <v>4407844380.708334</v>
      </c>
      <c r="AR17" s="359">
        <f t="shared" si="52"/>
        <v>596138190.859375</v>
      </c>
      <c r="AS17" s="359">
        <f t="shared" si="52"/>
        <v>6477543515.625</v>
      </c>
      <c r="AT17" s="359">
        <f t="shared" si="52"/>
        <v>30226487100.354172</v>
      </c>
      <c r="AU17" s="359">
        <f t="shared" si="52"/>
        <v>2750349046.7578125</v>
      </c>
      <c r="AV17" s="359">
        <f t="shared" si="52"/>
        <v>724846029.03125</v>
      </c>
      <c r="AW17" s="359">
        <f t="shared" si="52"/>
        <v>12877086477.9375</v>
      </c>
      <c r="AX17" s="359">
        <f t="shared" si="52"/>
        <v>9773910148.59375</v>
      </c>
      <c r="AY17" s="359">
        <f t="shared" si="52"/>
        <v>1701537359.1406252</v>
      </c>
      <c r="AZ17" s="359">
        <f t="shared" si="52"/>
        <v>6149765952.0572929</v>
      </c>
      <c r="BA17" s="359">
        <f t="shared" si="52"/>
        <v>564628048.96875012</v>
      </c>
    </row>
    <row r="18" spans="1:53" x14ac:dyDescent="0.2">
      <c r="D18" s="361"/>
      <c r="E18" s="361"/>
      <c r="F18" s="361"/>
      <c r="G18" s="361"/>
      <c r="H18" s="361"/>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row>
    <row r="19" spans="1:53" x14ac:dyDescent="0.2">
      <c r="C19" s="184"/>
      <c r="D19" s="184"/>
      <c r="E19" s="184"/>
      <c r="F19" s="184"/>
      <c r="G19" s="184"/>
      <c r="H19" s="184"/>
      <c r="I19" s="184"/>
      <c r="J19" s="184"/>
      <c r="K19" s="184"/>
    </row>
    <row r="20" spans="1:53" x14ac:dyDescent="0.2">
      <c r="B20" s="103" t="s">
        <v>579</v>
      </c>
      <c r="C20" s="184"/>
      <c r="D20" s="184"/>
      <c r="E20" s="184"/>
      <c r="F20" s="184"/>
      <c r="G20" s="184"/>
      <c r="H20" s="184"/>
      <c r="I20" s="184"/>
      <c r="J20" s="184"/>
      <c r="K20" s="184"/>
    </row>
    <row r="21" spans="1:53" x14ac:dyDescent="0.2">
      <c r="A21" s="30">
        <v>1</v>
      </c>
      <c r="B21" s="188" t="s">
        <v>916</v>
      </c>
      <c r="C21" s="184"/>
      <c r="D21" s="184"/>
      <c r="E21" s="184"/>
      <c r="F21" s="184"/>
      <c r="G21" s="184"/>
      <c r="H21" s="184"/>
      <c r="I21" s="184"/>
      <c r="J21" s="184"/>
      <c r="K21" s="184"/>
    </row>
    <row r="22" spans="1:53" x14ac:dyDescent="0.2">
      <c r="A22" s="187">
        <v>2</v>
      </c>
      <c r="B22" s="188" t="s">
        <v>334</v>
      </c>
      <c r="C22" s="184"/>
      <c r="D22" s="184"/>
      <c r="E22" s="184"/>
      <c r="F22" s="184"/>
      <c r="G22" s="184"/>
      <c r="H22" s="184"/>
      <c r="I22" s="184"/>
      <c r="J22" s="184"/>
      <c r="K22" s="184"/>
    </row>
    <row r="23" spans="1:53" x14ac:dyDescent="0.2">
      <c r="A23" s="30">
        <v>3</v>
      </c>
      <c r="B23" s="184" t="s">
        <v>651</v>
      </c>
      <c r="C23" s="184"/>
      <c r="D23" s="184"/>
      <c r="E23" s="184"/>
      <c r="F23" s="184"/>
      <c r="G23" s="184"/>
      <c r="H23" s="184"/>
      <c r="I23" s="184"/>
      <c r="J23" s="184"/>
      <c r="K23" s="184"/>
    </row>
    <row r="24" spans="1:53" x14ac:dyDescent="0.2">
      <c r="A24" s="187">
        <v>4</v>
      </c>
      <c r="B24" s="184" t="s">
        <v>644</v>
      </c>
      <c r="C24" s="189"/>
      <c r="D24" s="189"/>
      <c r="E24" s="189"/>
      <c r="F24" s="189"/>
      <c r="G24" s="189"/>
      <c r="H24" s="189"/>
      <c r="I24" s="189"/>
      <c r="J24" s="189"/>
      <c r="K24" s="189"/>
    </row>
    <row r="25" spans="1:53" x14ac:dyDescent="0.2">
      <c r="A25" s="187">
        <v>5</v>
      </c>
      <c r="B25" s="184" t="s">
        <v>644</v>
      </c>
      <c r="C25" s="189"/>
      <c r="D25" s="189"/>
      <c r="E25" s="189"/>
      <c r="F25" s="189"/>
      <c r="G25" s="189"/>
      <c r="H25" s="189"/>
      <c r="I25" s="189"/>
      <c r="J25" s="189"/>
      <c r="K25" s="189"/>
    </row>
    <row r="26" spans="1:53" x14ac:dyDescent="0.2">
      <c r="A26" s="187">
        <v>6</v>
      </c>
      <c r="B26" s="184" t="s">
        <v>644</v>
      </c>
      <c r="C26" s="189"/>
      <c r="D26" s="189"/>
      <c r="E26" s="189"/>
      <c r="F26" s="189"/>
      <c r="G26" s="189"/>
      <c r="H26" s="189"/>
      <c r="I26" s="189"/>
      <c r="J26" s="189"/>
      <c r="K26" s="189"/>
    </row>
    <row r="27" spans="1:53" x14ac:dyDescent="0.2">
      <c r="A27" s="187">
        <v>7</v>
      </c>
      <c r="B27" s="188" t="s">
        <v>944</v>
      </c>
      <c r="C27" s="189"/>
      <c r="D27" s="189"/>
      <c r="E27" s="189"/>
      <c r="F27" s="189"/>
      <c r="G27" s="189"/>
      <c r="H27" s="189"/>
      <c r="I27" s="189"/>
      <c r="J27" s="189"/>
      <c r="K27" s="189"/>
    </row>
    <row r="28" spans="1:53" x14ac:dyDescent="0.2">
      <c r="A28" s="187">
        <v>8</v>
      </c>
      <c r="B28" s="185" t="s">
        <v>943</v>
      </c>
      <c r="C28" s="189"/>
      <c r="D28" s="189"/>
      <c r="E28" s="189"/>
      <c r="F28" s="189"/>
      <c r="G28" s="189"/>
      <c r="H28" s="189"/>
      <c r="I28" s="189"/>
      <c r="J28" s="189"/>
      <c r="K28" s="189"/>
    </row>
    <row r="29" spans="1:53" x14ac:dyDescent="0.2">
      <c r="A29" s="187">
        <v>9</v>
      </c>
      <c r="B29" s="185" t="s">
        <v>942</v>
      </c>
      <c r="C29" s="189"/>
      <c r="D29" s="189"/>
      <c r="E29" s="189"/>
      <c r="F29" s="189"/>
      <c r="G29" s="189"/>
      <c r="H29" s="189"/>
      <c r="I29" s="189"/>
      <c r="J29" s="189"/>
      <c r="K29" s="189"/>
    </row>
    <row r="30" spans="1:53" x14ac:dyDescent="0.2">
      <c r="A30" s="187">
        <v>10</v>
      </c>
      <c r="B30" s="185" t="s">
        <v>947</v>
      </c>
      <c r="C30" s="189"/>
      <c r="D30" s="189"/>
      <c r="E30" s="189"/>
      <c r="F30" s="189"/>
      <c r="G30" s="189"/>
      <c r="H30" s="189"/>
      <c r="I30" s="189"/>
      <c r="J30" s="189"/>
      <c r="K30" s="189"/>
    </row>
    <row r="31" spans="1:53" x14ac:dyDescent="0.2">
      <c r="A31" s="187">
        <v>11</v>
      </c>
      <c r="B31" s="185" t="s">
        <v>898</v>
      </c>
      <c r="C31" s="189"/>
      <c r="D31" s="189"/>
      <c r="E31" s="189"/>
      <c r="F31" s="189"/>
      <c r="G31" s="189"/>
      <c r="H31" s="189"/>
      <c r="I31" s="189"/>
      <c r="J31" s="189"/>
      <c r="K31" s="189"/>
    </row>
    <row r="32" spans="1:53" x14ac:dyDescent="0.2">
      <c r="A32" s="187">
        <v>12</v>
      </c>
      <c r="B32" s="184" t="s">
        <v>898</v>
      </c>
      <c r="C32" s="189"/>
      <c r="D32" s="189"/>
      <c r="E32" s="189"/>
      <c r="F32" s="189"/>
      <c r="G32" s="189"/>
      <c r="H32" s="189"/>
      <c r="I32" s="189"/>
      <c r="J32" s="189"/>
      <c r="K32" s="189"/>
    </row>
    <row r="33" spans="1:11" x14ac:dyDescent="0.2">
      <c r="A33" s="187">
        <v>13</v>
      </c>
      <c r="B33" t="s">
        <v>355</v>
      </c>
      <c r="C33" s="189"/>
      <c r="D33" s="189"/>
      <c r="E33" s="189"/>
      <c r="F33" s="189"/>
      <c r="G33" s="189"/>
      <c r="H33" s="189"/>
      <c r="I33" s="189"/>
      <c r="J33" s="189"/>
      <c r="K33" s="189"/>
    </row>
    <row r="34" spans="1:11" x14ac:dyDescent="0.2">
      <c r="A34" s="187">
        <v>14</v>
      </c>
      <c r="B34" s="184" t="s">
        <v>946</v>
      </c>
      <c r="C34" s="189"/>
      <c r="D34" s="189"/>
      <c r="E34" s="189"/>
      <c r="F34" s="189"/>
      <c r="G34" s="189"/>
      <c r="H34" s="189"/>
      <c r="I34" s="189"/>
      <c r="J34" s="189"/>
      <c r="K34" s="189"/>
    </row>
    <row r="35" spans="1:11" x14ac:dyDescent="0.2">
      <c r="A35" s="187"/>
      <c r="B35" s="184"/>
      <c r="C35" s="189"/>
      <c r="D35" s="189"/>
      <c r="E35" s="189"/>
      <c r="F35" s="189"/>
      <c r="G35" s="189"/>
      <c r="H35" s="189"/>
      <c r="I35" s="189"/>
      <c r="J35" s="189"/>
      <c r="K35" s="189"/>
    </row>
    <row r="36" spans="1:11" x14ac:dyDescent="0.2">
      <c r="A36" s="187"/>
      <c r="B36" s="186"/>
      <c r="C36" s="189"/>
      <c r="D36" s="189"/>
      <c r="E36" s="189"/>
      <c r="F36" s="189"/>
      <c r="G36" s="189"/>
      <c r="H36" s="189"/>
      <c r="I36" s="189"/>
      <c r="J36" s="189"/>
      <c r="K36" s="189"/>
    </row>
    <row r="37" spans="1:11" x14ac:dyDescent="0.2">
      <c r="B37" s="527"/>
      <c r="C37" s="528"/>
      <c r="D37" s="189"/>
      <c r="E37" s="189"/>
      <c r="F37" s="189"/>
      <c r="G37" s="189"/>
      <c r="H37" s="189"/>
      <c r="I37" s="189"/>
      <c r="J37" s="189"/>
      <c r="K37" s="189"/>
    </row>
    <row r="38" spans="1:11" x14ac:dyDescent="0.2">
      <c r="B38" s="190"/>
      <c r="C38" s="184"/>
      <c r="D38" s="184"/>
      <c r="E38" s="184"/>
      <c r="F38" s="184"/>
      <c r="G38" s="184"/>
      <c r="H38" s="184"/>
      <c r="I38" s="184"/>
      <c r="J38" s="184"/>
      <c r="K38" s="184"/>
    </row>
    <row r="39" spans="1:11" x14ac:dyDescent="0.2">
      <c r="B39" s="190"/>
      <c r="C39" s="184"/>
      <c r="D39" s="184"/>
      <c r="E39" s="184"/>
      <c r="F39" s="184"/>
      <c r="G39" s="184"/>
      <c r="H39" s="184"/>
      <c r="I39" s="184"/>
      <c r="J39" s="184"/>
      <c r="K39" s="184"/>
    </row>
    <row r="40" spans="1:11" x14ac:dyDescent="0.2">
      <c r="B40" s="190"/>
      <c r="C40" s="184"/>
      <c r="D40" s="184"/>
      <c r="E40" s="184"/>
      <c r="F40" s="184"/>
      <c r="G40" s="184"/>
      <c r="H40" s="184"/>
      <c r="I40" s="184"/>
      <c r="J40" s="184"/>
      <c r="K40" s="184"/>
    </row>
    <row r="41" spans="1:11" x14ac:dyDescent="0.2">
      <c r="B41" s="190"/>
      <c r="C41" s="184"/>
      <c r="D41" s="184"/>
      <c r="E41" s="184"/>
      <c r="F41" s="184"/>
      <c r="G41" s="184"/>
      <c r="H41" s="184"/>
      <c r="I41" s="184"/>
      <c r="J41" s="184"/>
      <c r="K41" s="184"/>
    </row>
    <row r="42" spans="1:11" x14ac:dyDescent="0.2">
      <c r="B42" s="190"/>
      <c r="C42" s="184"/>
      <c r="D42" s="184"/>
      <c r="E42" s="184"/>
      <c r="F42" s="184"/>
      <c r="G42" s="184"/>
      <c r="H42" s="184"/>
      <c r="I42" s="184"/>
      <c r="J42" s="184"/>
      <c r="K42" s="184"/>
    </row>
    <row r="43" spans="1:11" x14ac:dyDescent="0.2">
      <c r="B43" s="190"/>
      <c r="D43" s="184"/>
      <c r="E43" s="184"/>
      <c r="F43" s="184"/>
      <c r="G43" s="184"/>
      <c r="H43" s="184"/>
      <c r="I43" s="184"/>
      <c r="J43" s="184"/>
      <c r="K43" s="184"/>
    </row>
    <row r="44" spans="1:11" x14ac:dyDescent="0.2">
      <c r="B44" s="190"/>
      <c r="C44" s="184"/>
      <c r="D44" s="184"/>
      <c r="E44" s="184"/>
      <c r="F44" s="184"/>
      <c r="G44" s="184"/>
      <c r="H44" s="184"/>
      <c r="I44" s="184"/>
      <c r="J44" s="184"/>
      <c r="K44" s="184"/>
    </row>
    <row r="45" spans="1:11" x14ac:dyDescent="0.2">
      <c r="B45" s="190"/>
      <c r="C45" s="184"/>
      <c r="D45" s="184"/>
      <c r="E45" s="184"/>
      <c r="F45" s="184"/>
      <c r="G45" s="184"/>
      <c r="H45" s="184"/>
      <c r="I45" s="184"/>
      <c r="J45" s="184"/>
      <c r="K45" s="184"/>
    </row>
    <row r="46" spans="1:11" x14ac:dyDescent="0.2">
      <c r="B46" s="190"/>
      <c r="C46" s="184"/>
      <c r="D46" s="184"/>
      <c r="E46" s="184"/>
      <c r="F46" s="184"/>
      <c r="G46" s="184"/>
      <c r="H46" s="184"/>
      <c r="I46" s="184"/>
      <c r="J46" s="184"/>
      <c r="K46" s="184"/>
    </row>
    <row r="47" spans="1:11" x14ac:dyDescent="0.2">
      <c r="B47" s="190"/>
      <c r="C47" s="184"/>
      <c r="D47" s="184"/>
      <c r="E47" s="184"/>
      <c r="F47" s="184"/>
      <c r="G47" s="184"/>
      <c r="H47" s="184"/>
      <c r="I47" s="184"/>
      <c r="J47" s="184"/>
      <c r="K47" s="184"/>
    </row>
    <row r="48" spans="1:11" x14ac:dyDescent="0.2">
      <c r="B48" s="190"/>
      <c r="C48" s="191"/>
      <c r="D48" s="184"/>
      <c r="E48" s="184"/>
      <c r="F48" s="184"/>
      <c r="G48" s="184"/>
      <c r="H48" s="184"/>
      <c r="I48" s="184"/>
      <c r="J48" s="184"/>
      <c r="K48" s="184"/>
    </row>
    <row r="49" spans="2:54" x14ac:dyDescent="0.2">
      <c r="B49" s="190"/>
      <c r="C49" s="184"/>
      <c r="D49" s="184"/>
      <c r="E49" s="184"/>
      <c r="F49" s="184"/>
      <c r="G49" s="184"/>
      <c r="H49" s="184"/>
      <c r="I49" s="184"/>
      <c r="J49" s="184"/>
      <c r="K49" s="184"/>
    </row>
    <row r="50" spans="2:54" x14ac:dyDescent="0.2">
      <c r="B50" s="190"/>
      <c r="C50" s="184"/>
      <c r="D50" s="184"/>
      <c r="E50" s="184"/>
      <c r="F50" s="184"/>
      <c r="G50" s="184"/>
      <c r="H50" s="184"/>
      <c r="I50" s="184"/>
      <c r="J50" s="184"/>
      <c r="K50" s="184"/>
    </row>
    <row r="51" spans="2:54" x14ac:dyDescent="0.2">
      <c r="B51" s="186"/>
      <c r="C51" s="189"/>
      <c r="D51" s="189"/>
      <c r="E51" s="189"/>
      <c r="F51" s="189"/>
      <c r="G51" s="189"/>
      <c r="H51" s="189"/>
      <c r="I51" s="189"/>
      <c r="J51" s="189"/>
      <c r="K51" s="189"/>
    </row>
    <row r="52" spans="2:54" x14ac:dyDescent="0.2">
      <c r="B52" s="184"/>
      <c r="C52" s="184"/>
      <c r="D52" s="184"/>
      <c r="E52" s="184"/>
      <c r="F52" s="184"/>
      <c r="G52" s="184"/>
      <c r="H52" s="184"/>
      <c r="I52" s="184"/>
      <c r="J52" s="184"/>
      <c r="K52" s="184"/>
    </row>
    <row r="53" spans="2:54" x14ac:dyDescent="0.2">
      <c r="B53" s="529"/>
      <c r="C53" s="530"/>
      <c r="D53" s="189"/>
      <c r="E53" s="189"/>
      <c r="F53" s="189"/>
      <c r="G53" s="189"/>
      <c r="H53" s="189"/>
      <c r="I53" s="189"/>
      <c r="J53" s="189"/>
      <c r="K53" s="189"/>
    </row>
    <row r="54" spans="2:54" ht="30" customHeight="1" x14ac:dyDescent="0.2">
      <c r="C54" s="191"/>
      <c r="D54" s="192"/>
      <c r="E54" s="192"/>
      <c r="F54" s="192"/>
      <c r="G54" s="192"/>
      <c r="H54" s="192"/>
      <c r="I54" s="192"/>
      <c r="J54" s="192"/>
      <c r="K54" s="192"/>
    </row>
    <row r="55" spans="2:54" x14ac:dyDescent="0.2">
      <c r="B55" s="184"/>
      <c r="C55" s="184"/>
      <c r="D55" s="184"/>
      <c r="E55" s="184"/>
      <c r="F55" s="184"/>
      <c r="G55" s="184"/>
      <c r="H55" s="184"/>
      <c r="I55" s="184"/>
      <c r="J55" s="184"/>
      <c r="K55" s="184"/>
    </row>
    <row r="56" spans="2:54" x14ac:dyDescent="0.2">
      <c r="B56" s="531"/>
      <c r="C56" s="531"/>
      <c r="D56" s="531"/>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row>
    <row r="57" spans="2:54" x14ac:dyDescent="0.2">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row>
    <row r="58" spans="2:54" x14ac:dyDescent="0.2">
      <c r="B58" s="526"/>
      <c r="C58" s="526"/>
      <c r="D58" s="526"/>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row>
    <row r="59" spans="2:54" x14ac:dyDescent="0.2">
      <c r="B59" s="526"/>
      <c r="C59" s="526"/>
      <c r="D59" s="526"/>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row>
    <row r="60" spans="2:54" x14ac:dyDescent="0.2">
      <c r="B60" s="526"/>
      <c r="C60" s="526"/>
      <c r="D60" s="526"/>
      <c r="E60" s="193"/>
      <c r="F60" s="193"/>
      <c r="G60" s="193"/>
      <c r="H60" s="194"/>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row>
    <row r="63" spans="2:54" ht="12" customHeight="1" x14ac:dyDescent="0.2">
      <c r="B63" s="531"/>
      <c r="C63" s="531"/>
      <c r="D63" s="531"/>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c r="BA63" s="193"/>
      <c r="BB63" s="193"/>
    </row>
    <row r="64" spans="2:54" ht="12" customHeight="1" x14ac:dyDescent="0.2">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c r="BA64" s="193"/>
      <c r="BB64" s="193"/>
    </row>
    <row r="65" spans="2:54" ht="12" customHeight="1" x14ac:dyDescent="0.2">
      <c r="B65" s="526"/>
      <c r="C65" s="526"/>
      <c r="D65" s="526"/>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row>
    <row r="66" spans="2:54" ht="12" customHeight="1" x14ac:dyDescent="0.2">
      <c r="B66" s="526"/>
      <c r="C66" s="526"/>
      <c r="D66" s="526"/>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row>
    <row r="67" spans="2:54" ht="12" customHeight="1" x14ac:dyDescent="0.2">
      <c r="B67" s="526"/>
      <c r="C67" s="526"/>
      <c r="D67" s="526"/>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c r="AY67" s="194"/>
      <c r="AZ67" s="194"/>
      <c r="BA67" s="194"/>
      <c r="BB67" s="194"/>
    </row>
    <row r="68" spans="2:54" ht="12" customHeight="1" x14ac:dyDescent="0.2">
      <c r="B68" s="526"/>
      <c r="C68" s="526"/>
      <c r="D68" s="526"/>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4"/>
      <c r="AZ68" s="194"/>
      <c r="BA68" s="194"/>
      <c r="BB68" s="194"/>
    </row>
    <row r="69" spans="2:54" ht="12" customHeight="1" x14ac:dyDescent="0.2">
      <c r="B69" s="526"/>
      <c r="C69" s="526"/>
      <c r="D69" s="526"/>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194"/>
    </row>
    <row r="70" spans="2:54" ht="12" customHeight="1" x14ac:dyDescent="0.2">
      <c r="B70" s="526"/>
      <c r="C70" s="526"/>
      <c r="D70" s="526"/>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row>
    <row r="71" spans="2:54" ht="12" customHeight="1" x14ac:dyDescent="0.2">
      <c r="B71" s="526"/>
      <c r="C71" s="526"/>
      <c r="D71" s="526"/>
      <c r="E71" s="194"/>
      <c r="F71" s="194"/>
      <c r="G71" s="194"/>
      <c r="H71" s="194"/>
      <c r="I71" s="194"/>
      <c r="J71" s="194"/>
      <c r="K71" s="194"/>
      <c r="L71" s="195"/>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5"/>
      <c r="AX71" s="194"/>
      <c r="AY71" s="194"/>
      <c r="AZ71" s="194"/>
      <c r="BA71" s="194"/>
      <c r="BB71" s="194"/>
    </row>
    <row r="72" spans="2:54" ht="12" customHeight="1" x14ac:dyDescent="0.2">
      <c r="B72" s="526"/>
      <c r="C72" s="526"/>
      <c r="D72" s="526"/>
      <c r="E72" s="194"/>
      <c r="F72" s="195"/>
      <c r="G72" s="194"/>
      <c r="H72" s="194"/>
      <c r="I72" s="194"/>
      <c r="J72" s="194"/>
      <c r="K72" s="194"/>
      <c r="L72" s="195"/>
      <c r="M72" s="194"/>
      <c r="N72" s="194"/>
      <c r="O72" s="194"/>
      <c r="P72" s="194"/>
      <c r="Q72" s="194"/>
      <c r="R72" s="194"/>
      <c r="S72" s="194"/>
      <c r="T72" s="194"/>
      <c r="U72" s="194"/>
      <c r="V72" s="194"/>
      <c r="W72" s="195"/>
      <c r="X72" s="194"/>
      <c r="Y72" s="194"/>
      <c r="Z72" s="194"/>
      <c r="AA72" s="194"/>
      <c r="AB72" s="194"/>
      <c r="AC72" s="194"/>
      <c r="AD72" s="195"/>
      <c r="AE72" s="195"/>
      <c r="AF72" s="194"/>
      <c r="AG72" s="195"/>
      <c r="AH72" s="194"/>
      <c r="AI72" s="194"/>
      <c r="AJ72" s="194"/>
      <c r="AK72" s="194"/>
      <c r="AL72" s="195"/>
      <c r="AM72" s="194"/>
      <c r="AN72" s="194"/>
      <c r="AO72" s="194"/>
      <c r="AP72" s="194"/>
      <c r="AQ72" s="195"/>
      <c r="AR72" s="194"/>
      <c r="AS72" s="194"/>
      <c r="AT72" s="194"/>
      <c r="AU72" s="194"/>
      <c r="AV72" s="194"/>
      <c r="AW72" s="195"/>
      <c r="AX72" s="194"/>
      <c r="AY72" s="194"/>
      <c r="AZ72" s="194"/>
      <c r="BA72" s="194"/>
      <c r="BB72" s="195"/>
    </row>
    <row r="73" spans="2:54" ht="12" customHeight="1" x14ac:dyDescent="0.2">
      <c r="B73" s="526"/>
      <c r="C73" s="526"/>
      <c r="D73" s="526"/>
      <c r="E73" s="194"/>
      <c r="F73" s="194"/>
      <c r="G73" s="194"/>
      <c r="H73" s="194"/>
      <c r="I73" s="194"/>
      <c r="J73" s="194"/>
      <c r="K73" s="194"/>
      <c r="L73" s="195"/>
      <c r="M73" s="194"/>
      <c r="N73" s="194"/>
      <c r="O73" s="195"/>
      <c r="P73" s="194"/>
      <c r="Q73" s="194"/>
      <c r="R73" s="194"/>
      <c r="S73" s="194"/>
      <c r="T73" s="194"/>
      <c r="U73" s="194"/>
      <c r="V73" s="194"/>
      <c r="W73" s="194"/>
      <c r="X73" s="194"/>
      <c r="Y73" s="194"/>
      <c r="Z73" s="194"/>
      <c r="AA73" s="194"/>
      <c r="AB73" s="194"/>
      <c r="AC73" s="194"/>
      <c r="AD73" s="195"/>
      <c r="AE73" s="195"/>
      <c r="AF73" s="194"/>
      <c r="AG73" s="195"/>
      <c r="AH73" s="194"/>
      <c r="AI73" s="195"/>
      <c r="AJ73" s="194"/>
      <c r="AK73" s="194"/>
      <c r="AL73" s="195"/>
      <c r="AM73" s="194"/>
      <c r="AN73" s="194"/>
      <c r="AO73" s="194"/>
      <c r="AP73" s="194"/>
      <c r="AQ73" s="194"/>
      <c r="AR73" s="194"/>
      <c r="AS73" s="195"/>
      <c r="AT73" s="194"/>
      <c r="AU73" s="194"/>
      <c r="AV73" s="194"/>
      <c r="AW73" s="195"/>
      <c r="AX73" s="194"/>
      <c r="AY73" s="194"/>
      <c r="AZ73" s="195"/>
      <c r="BA73" s="194"/>
      <c r="BB73" s="195"/>
    </row>
    <row r="74" spans="2:54" ht="12" customHeight="1" x14ac:dyDescent="0.2">
      <c r="B74" s="526"/>
      <c r="C74" s="526"/>
      <c r="D74" s="526"/>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row>
    <row r="75" spans="2:54" ht="12" customHeight="1" x14ac:dyDescent="0.2">
      <c r="B75" s="526"/>
      <c r="C75" s="526"/>
      <c r="D75" s="526"/>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row>
    <row r="76" spans="2:54" ht="12" customHeight="1" x14ac:dyDescent="0.2">
      <c r="B76" s="526"/>
      <c r="C76" s="526"/>
      <c r="D76" s="526"/>
      <c r="E76" s="195"/>
      <c r="F76" s="195"/>
      <c r="G76" s="194"/>
      <c r="H76" s="195"/>
      <c r="I76" s="194"/>
      <c r="J76" s="194"/>
      <c r="K76" s="195"/>
      <c r="L76" s="195"/>
      <c r="M76" s="194"/>
      <c r="N76" s="194"/>
      <c r="O76" s="195"/>
      <c r="P76" s="195"/>
      <c r="Q76" s="194"/>
      <c r="R76" s="195"/>
      <c r="S76" s="195"/>
      <c r="T76" s="195"/>
      <c r="U76" s="195"/>
      <c r="V76" s="194"/>
      <c r="W76" s="195"/>
      <c r="X76" s="194"/>
      <c r="Y76" s="194"/>
      <c r="Z76" s="195"/>
      <c r="AA76" s="195"/>
      <c r="AB76" s="195"/>
      <c r="AC76" s="195"/>
      <c r="AD76" s="195"/>
      <c r="AE76" s="195"/>
      <c r="AF76" s="195"/>
      <c r="AG76" s="195"/>
      <c r="AH76" s="194"/>
      <c r="AI76" s="195"/>
      <c r="AJ76" s="194"/>
      <c r="AK76" s="195"/>
      <c r="AL76" s="195"/>
      <c r="AM76" s="195"/>
      <c r="AN76" s="195"/>
      <c r="AO76" s="194"/>
      <c r="AP76" s="194"/>
      <c r="AQ76" s="195"/>
      <c r="AR76" s="195"/>
      <c r="AS76" s="195"/>
      <c r="AT76" s="195"/>
      <c r="AU76" s="194"/>
      <c r="AV76" s="194"/>
      <c r="AW76" s="195"/>
      <c r="AX76" s="195"/>
      <c r="AY76" s="195"/>
      <c r="AZ76" s="195"/>
      <c r="BA76" s="195"/>
      <c r="BB76" s="195"/>
    </row>
    <row r="77" spans="2:54" ht="12" customHeight="1" x14ac:dyDescent="0.2">
      <c r="B77" s="526"/>
      <c r="C77" s="526"/>
      <c r="D77" s="526"/>
      <c r="E77" s="195"/>
      <c r="F77" s="195"/>
      <c r="G77" s="194"/>
      <c r="H77" s="195"/>
      <c r="I77" s="194"/>
      <c r="J77" s="194"/>
      <c r="K77" s="194"/>
      <c r="L77" s="194"/>
      <c r="M77" s="194"/>
      <c r="N77" s="194"/>
      <c r="O77" s="195"/>
      <c r="P77" s="195"/>
      <c r="Q77" s="194"/>
      <c r="R77" s="195"/>
      <c r="S77" s="195"/>
      <c r="T77" s="195"/>
      <c r="U77" s="195"/>
      <c r="V77" s="195"/>
      <c r="W77" s="195"/>
      <c r="X77" s="194"/>
      <c r="Y77" s="194"/>
      <c r="Z77" s="195"/>
      <c r="AA77" s="194"/>
      <c r="AB77" s="195"/>
      <c r="AC77" s="194"/>
      <c r="AD77" s="195"/>
      <c r="AE77" s="195"/>
      <c r="AF77" s="195"/>
      <c r="AG77" s="195"/>
      <c r="AH77" s="194"/>
      <c r="AI77" s="195"/>
      <c r="AJ77" s="194"/>
      <c r="AK77" s="194"/>
      <c r="AL77" s="195"/>
      <c r="AM77" s="194"/>
      <c r="AN77" s="195"/>
      <c r="AO77" s="194"/>
      <c r="AP77" s="194"/>
      <c r="AQ77" s="195"/>
      <c r="AR77" s="195"/>
      <c r="AS77" s="195"/>
      <c r="AT77" s="195"/>
      <c r="AU77" s="194"/>
      <c r="AV77" s="194"/>
      <c r="AW77" s="195"/>
      <c r="AX77" s="194"/>
      <c r="AY77" s="194"/>
      <c r="AZ77" s="195"/>
      <c r="BA77" s="195"/>
      <c r="BB77" s="195"/>
    </row>
    <row r="78" spans="2:54" ht="12" customHeight="1" x14ac:dyDescent="0.2">
      <c r="B78" s="526"/>
      <c r="C78" s="526"/>
      <c r="D78" s="526"/>
      <c r="E78" s="195"/>
      <c r="F78" s="195"/>
      <c r="G78" s="195"/>
      <c r="H78" s="195"/>
      <c r="I78" s="194"/>
      <c r="J78" s="194"/>
      <c r="K78" s="194"/>
      <c r="L78" s="194"/>
      <c r="M78" s="194"/>
      <c r="N78" s="194"/>
      <c r="O78" s="195"/>
      <c r="P78" s="195"/>
      <c r="Q78" s="194"/>
      <c r="R78" s="194"/>
      <c r="S78" s="195"/>
      <c r="T78" s="195"/>
      <c r="U78" s="195"/>
      <c r="V78" s="195"/>
      <c r="W78" s="195"/>
      <c r="X78" s="194"/>
      <c r="Y78" s="194"/>
      <c r="Z78" s="195"/>
      <c r="AA78" s="194"/>
      <c r="AB78" s="195"/>
      <c r="AC78" s="195"/>
      <c r="AD78" s="195"/>
      <c r="AE78" s="195"/>
      <c r="AF78" s="195"/>
      <c r="AG78" s="195"/>
      <c r="AH78" s="194"/>
      <c r="AI78" s="195"/>
      <c r="AJ78" s="194"/>
      <c r="AK78" s="194"/>
      <c r="AL78" s="195"/>
      <c r="AM78" s="195"/>
      <c r="AN78" s="195"/>
      <c r="AO78" s="194"/>
      <c r="AP78" s="194"/>
      <c r="AQ78" s="194"/>
      <c r="AR78" s="195"/>
      <c r="AS78" s="195"/>
      <c r="AT78" s="195"/>
      <c r="AU78" s="194"/>
      <c r="AV78" s="194"/>
      <c r="AW78" s="195"/>
      <c r="AX78" s="194"/>
      <c r="AY78" s="194"/>
      <c r="AZ78" s="194"/>
      <c r="BA78" s="195"/>
      <c r="BB78" s="195"/>
    </row>
    <row r="79" spans="2:54" ht="12" customHeight="1" x14ac:dyDescent="0.2">
      <c r="B79" s="526"/>
      <c r="C79" s="526"/>
      <c r="D79" s="526"/>
      <c r="E79" s="195"/>
      <c r="F79" s="195"/>
      <c r="G79" s="195"/>
      <c r="H79" s="195"/>
      <c r="I79" s="194"/>
      <c r="J79" s="195"/>
      <c r="K79" s="195"/>
      <c r="L79" s="195"/>
      <c r="M79" s="195"/>
      <c r="N79" s="195"/>
      <c r="O79" s="195"/>
      <c r="P79" s="195"/>
      <c r="Q79" s="195"/>
      <c r="R79" s="195"/>
      <c r="S79" s="195"/>
      <c r="T79" s="195"/>
      <c r="U79" s="195"/>
      <c r="V79" s="195"/>
      <c r="W79" s="195"/>
      <c r="X79" s="195"/>
      <c r="Y79" s="194"/>
      <c r="Z79" s="195"/>
      <c r="AA79" s="195"/>
      <c r="AB79" s="195"/>
      <c r="AC79" s="195"/>
      <c r="AD79" s="195"/>
      <c r="AE79" s="195"/>
      <c r="AF79" s="195"/>
      <c r="AG79" s="195"/>
      <c r="AH79" s="194"/>
      <c r="AI79" s="195"/>
      <c r="AJ79" s="194"/>
      <c r="AK79" s="195"/>
      <c r="AL79" s="195"/>
      <c r="AM79" s="195"/>
      <c r="AN79" s="195"/>
      <c r="AO79" s="195"/>
      <c r="AP79" s="195"/>
      <c r="AQ79" s="195"/>
      <c r="AR79" s="195"/>
      <c r="AS79" s="195"/>
      <c r="AT79" s="195"/>
      <c r="AU79" s="195"/>
      <c r="AV79" s="195"/>
      <c r="AW79" s="195"/>
      <c r="AX79" s="195"/>
      <c r="AY79" s="194"/>
      <c r="AZ79" s="195"/>
      <c r="BA79" s="195"/>
      <c r="BB79" s="195"/>
    </row>
    <row r="80" spans="2:54" ht="12" customHeight="1" x14ac:dyDescent="0.2">
      <c r="B80" s="526"/>
      <c r="C80" s="526"/>
      <c r="D80" s="526"/>
      <c r="E80" s="194"/>
      <c r="F80" s="195"/>
      <c r="G80" s="194"/>
      <c r="H80" s="195"/>
      <c r="I80" s="194"/>
      <c r="J80" s="194"/>
      <c r="K80" s="194"/>
      <c r="L80" s="194"/>
      <c r="M80" s="194"/>
      <c r="N80" s="194"/>
      <c r="O80" s="195"/>
      <c r="P80" s="195"/>
      <c r="Q80" s="194"/>
      <c r="R80" s="195"/>
      <c r="S80" s="195"/>
      <c r="T80" s="195"/>
      <c r="U80" s="195"/>
      <c r="V80" s="194"/>
      <c r="W80" s="194"/>
      <c r="X80" s="194"/>
      <c r="Y80" s="194"/>
      <c r="Z80" s="194"/>
      <c r="AA80" s="194"/>
      <c r="AB80" s="194"/>
      <c r="AC80" s="194"/>
      <c r="AD80" s="195"/>
      <c r="AE80" s="195"/>
      <c r="AF80" s="195"/>
      <c r="AG80" s="195"/>
      <c r="AH80" s="194"/>
      <c r="AI80" s="195"/>
      <c r="AJ80" s="194"/>
      <c r="AK80" s="194"/>
      <c r="AL80" s="195"/>
      <c r="AM80" s="194"/>
      <c r="AN80" s="194"/>
      <c r="AO80" s="195"/>
      <c r="AP80" s="194"/>
      <c r="AQ80" s="195"/>
      <c r="AR80" s="194"/>
      <c r="AS80" s="195"/>
      <c r="AT80" s="195"/>
      <c r="AU80" s="194"/>
      <c r="AV80" s="195"/>
      <c r="AW80" s="195"/>
      <c r="AX80" s="194"/>
      <c r="AY80" s="195"/>
      <c r="AZ80" s="195"/>
      <c r="BA80" s="194"/>
      <c r="BB80" s="195"/>
    </row>
    <row r="81" spans="2:54" ht="12" customHeight="1" x14ac:dyDescent="0.2">
      <c r="B81" s="526"/>
      <c r="C81" s="526"/>
      <c r="D81" s="526"/>
      <c r="E81" s="194"/>
      <c r="F81" s="195"/>
      <c r="G81" s="194"/>
      <c r="H81" s="194"/>
      <c r="I81" s="194"/>
      <c r="J81" s="194"/>
      <c r="K81" s="194"/>
      <c r="L81" s="195"/>
      <c r="M81" s="194"/>
      <c r="N81" s="194"/>
      <c r="O81" s="194"/>
      <c r="P81" s="194"/>
      <c r="Q81" s="194"/>
      <c r="R81" s="194"/>
      <c r="S81" s="194"/>
      <c r="T81" s="194"/>
      <c r="U81" s="194"/>
      <c r="V81" s="194"/>
      <c r="W81" s="194"/>
      <c r="X81" s="194"/>
      <c r="Y81" s="194"/>
      <c r="Z81" s="194"/>
      <c r="AA81" s="194"/>
      <c r="AB81" s="195"/>
      <c r="AC81" s="194"/>
      <c r="AD81" s="194"/>
      <c r="AE81" s="194"/>
      <c r="AF81" s="194"/>
      <c r="AG81" s="194"/>
      <c r="AH81" s="194"/>
      <c r="AI81" s="194"/>
      <c r="AJ81" s="194"/>
      <c r="AK81" s="194"/>
      <c r="AL81" s="195"/>
      <c r="AM81" s="194"/>
      <c r="AN81" s="194"/>
      <c r="AO81" s="194"/>
      <c r="AP81" s="194"/>
      <c r="AQ81" s="195"/>
      <c r="AR81" s="194"/>
      <c r="AS81" s="194"/>
      <c r="AT81" s="194"/>
      <c r="AU81" s="194"/>
      <c r="AV81" s="194"/>
      <c r="AW81" s="195"/>
      <c r="AX81" s="194"/>
      <c r="AY81" s="194"/>
      <c r="AZ81" s="195"/>
      <c r="BA81" s="194"/>
      <c r="BB81" s="195"/>
    </row>
    <row r="82" spans="2:54" ht="12" customHeight="1" x14ac:dyDescent="0.2">
      <c r="B82" s="526"/>
      <c r="C82" s="526"/>
      <c r="D82" s="526"/>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5"/>
      <c r="AR82" s="194"/>
      <c r="AS82" s="194"/>
      <c r="AT82" s="194"/>
      <c r="AU82" s="194"/>
      <c r="AV82" s="194"/>
      <c r="AW82" s="194"/>
      <c r="AX82" s="194"/>
      <c r="AY82" s="194"/>
      <c r="AZ82" s="195"/>
      <c r="BA82" s="194"/>
      <c r="BB82" s="194"/>
    </row>
    <row r="83" spans="2:54" ht="12" customHeight="1" x14ac:dyDescent="0.2">
      <c r="B83" s="526"/>
      <c r="C83" s="526"/>
      <c r="D83" s="526"/>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c r="BB83" s="194"/>
    </row>
    <row r="84" spans="2:54" ht="12" customHeight="1" x14ac:dyDescent="0.2">
      <c r="B84" s="526"/>
      <c r="C84" s="526"/>
      <c r="D84" s="526"/>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c r="AR84" s="194"/>
      <c r="AS84" s="194"/>
      <c r="AT84" s="194"/>
      <c r="AU84" s="194"/>
      <c r="AV84" s="194"/>
      <c r="AW84" s="194"/>
      <c r="AX84" s="194"/>
      <c r="AY84" s="194"/>
      <c r="AZ84" s="194"/>
      <c r="BA84" s="194"/>
      <c r="BB84" s="194"/>
    </row>
    <row r="85" spans="2:54" ht="12" customHeight="1" x14ac:dyDescent="0.2">
      <c r="B85" s="526"/>
      <c r="C85" s="526"/>
      <c r="D85" s="526"/>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c r="AK85" s="194"/>
      <c r="AL85" s="194"/>
      <c r="AM85" s="194"/>
      <c r="AN85" s="194"/>
      <c r="AO85" s="194"/>
      <c r="AP85" s="194"/>
      <c r="AQ85" s="194"/>
      <c r="AR85" s="194"/>
      <c r="AS85" s="194"/>
      <c r="AT85" s="194"/>
      <c r="AU85" s="194"/>
      <c r="AV85" s="194"/>
      <c r="AW85" s="194"/>
      <c r="AX85" s="194"/>
      <c r="AY85" s="194"/>
      <c r="AZ85" s="194"/>
      <c r="BA85" s="194"/>
      <c r="BB85" s="194"/>
    </row>
    <row r="86" spans="2:54" x14ac:dyDescent="0.2">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row>
    <row r="88" spans="2:54" x14ac:dyDescent="0.2">
      <c r="C88" s="197"/>
    </row>
  </sheetData>
  <mergeCells count="28">
    <mergeCell ref="B85:D85"/>
    <mergeCell ref="B75:D75"/>
    <mergeCell ref="B76:D76"/>
    <mergeCell ref="B77:D77"/>
    <mergeCell ref="B78:D78"/>
    <mergeCell ref="B79:D79"/>
    <mergeCell ref="B84:D84"/>
    <mergeCell ref="B73:D73"/>
    <mergeCell ref="B74:D74"/>
    <mergeCell ref="B81:D81"/>
    <mergeCell ref="B82:D82"/>
    <mergeCell ref="B83:D83"/>
    <mergeCell ref="B80:D80"/>
    <mergeCell ref="B69:D69"/>
    <mergeCell ref="B70:D70"/>
    <mergeCell ref="B71:D71"/>
    <mergeCell ref="B72:D72"/>
    <mergeCell ref="B37:C37"/>
    <mergeCell ref="B53:C53"/>
    <mergeCell ref="B56:D56"/>
    <mergeCell ref="B58:D58"/>
    <mergeCell ref="B59:D59"/>
    <mergeCell ref="B60:D60"/>
    <mergeCell ref="B63:D63"/>
    <mergeCell ref="B65:D65"/>
    <mergeCell ref="B66:D66"/>
    <mergeCell ref="B67:D67"/>
    <mergeCell ref="B68:D68"/>
  </mergeCells>
  <phoneticPr fontId="103" type="noConversion"/>
  <pageMargins left="0.75" right="0.75" top="1" bottom="1"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8"/>
  <sheetViews>
    <sheetView workbookViewId="0">
      <selection activeCell="A42" sqref="A42:XFD42"/>
    </sheetView>
  </sheetViews>
  <sheetFormatPr baseColWidth="10" defaultRowHeight="16" x14ac:dyDescent="0.2"/>
  <cols>
    <col min="1" max="1" width="10.83203125" style="7"/>
    <col min="2" max="2" width="42" style="7" customWidth="1"/>
    <col min="3" max="3" width="22.5" style="7" customWidth="1"/>
    <col min="4" max="4" width="15.5" style="18" customWidth="1"/>
    <col min="5" max="5" width="11.5" style="18" bestFit="1" customWidth="1"/>
    <col min="6" max="6" width="11" style="18" bestFit="1" customWidth="1"/>
    <col min="7" max="7" width="11.5" style="18" bestFit="1" customWidth="1"/>
    <col min="8" max="8" width="11" style="18" bestFit="1" customWidth="1"/>
    <col min="9" max="9" width="13.1640625" style="18" bestFit="1" customWidth="1"/>
    <col min="10" max="11" width="11.5" style="18" bestFit="1" customWidth="1"/>
    <col min="12" max="13" width="11" style="18" bestFit="1" customWidth="1"/>
    <col min="14" max="15" width="11.5" style="18" bestFit="1" customWidth="1"/>
    <col min="16" max="17" width="11" style="18" bestFit="1" customWidth="1"/>
    <col min="18" max="23" width="11.5" style="18" bestFit="1" customWidth="1"/>
    <col min="24" max="24" width="11" style="18" bestFit="1" customWidth="1"/>
    <col min="25" max="28" width="11.5" style="18" bestFit="1" customWidth="1"/>
    <col min="29" max="29" width="11" style="18" bestFit="1" customWidth="1"/>
    <col min="30" max="30" width="11.5" style="18" bestFit="1" customWidth="1"/>
    <col min="31" max="32" width="11" style="18" bestFit="1" customWidth="1"/>
    <col min="33" max="33" width="11.5" style="18" bestFit="1" customWidth="1"/>
    <col min="34" max="34" width="11" style="18" bestFit="1" customWidth="1"/>
    <col min="35" max="35" width="11.5" style="18" bestFit="1" customWidth="1"/>
    <col min="36" max="36" width="11" style="18" bestFit="1" customWidth="1"/>
    <col min="37" max="37" width="13.1640625" style="18" bestFit="1" customWidth="1"/>
    <col min="38" max="38" width="11.5" style="18" bestFit="1" customWidth="1"/>
    <col min="39" max="39" width="11" style="18" bestFit="1" customWidth="1"/>
    <col min="40" max="43" width="11.5" style="18" bestFit="1" customWidth="1"/>
    <col min="44" max="44" width="11" style="18" bestFit="1" customWidth="1"/>
    <col min="45" max="45" width="11.5" style="18" bestFit="1" customWidth="1"/>
    <col min="46" max="46" width="11" style="18" bestFit="1" customWidth="1"/>
    <col min="47" max="47" width="11.5" style="18" bestFit="1" customWidth="1"/>
    <col min="48" max="48" width="13.1640625" style="18" bestFit="1" customWidth="1"/>
    <col min="49" max="49" width="11.5" style="18" bestFit="1" customWidth="1"/>
    <col min="50" max="50" width="11" style="18" bestFit="1" customWidth="1"/>
    <col min="51" max="52" width="11.5" style="18" bestFit="1" customWidth="1"/>
    <col min="53" max="53" width="11" style="18" bestFit="1" customWidth="1"/>
    <col min="54" max="54" width="11.5" style="18" bestFit="1" customWidth="1"/>
    <col min="55" max="55" width="11" style="7" bestFit="1" customWidth="1"/>
    <col min="56" max="56" width="10.83203125" style="9"/>
    <col min="57" max="16384" width="10.83203125" style="7"/>
  </cols>
  <sheetData>
    <row r="1" spans="1:56" s="220" customFormat="1" x14ac:dyDescent="0.2">
      <c r="B1" s="220">
        <v>2011</v>
      </c>
      <c r="D1" s="373"/>
      <c r="E1" s="373">
        <v>1</v>
      </c>
      <c r="F1" s="373">
        <f>E1+1</f>
        <v>2</v>
      </c>
      <c r="G1" s="373">
        <f t="shared" ref="G1:BB1" si="0">F1+1</f>
        <v>3</v>
      </c>
      <c r="H1" s="373">
        <f t="shared" si="0"/>
        <v>4</v>
      </c>
      <c r="I1" s="373">
        <f t="shared" si="0"/>
        <v>5</v>
      </c>
      <c r="J1" s="373">
        <f t="shared" si="0"/>
        <v>6</v>
      </c>
      <c r="K1" s="373">
        <f t="shared" si="0"/>
        <v>7</v>
      </c>
      <c r="L1" s="373">
        <f t="shared" si="0"/>
        <v>8</v>
      </c>
      <c r="M1" s="373">
        <f t="shared" si="0"/>
        <v>9</v>
      </c>
      <c r="N1" s="373">
        <f t="shared" si="0"/>
        <v>10</v>
      </c>
      <c r="O1" s="373">
        <f t="shared" si="0"/>
        <v>11</v>
      </c>
      <c r="P1" s="373">
        <f t="shared" si="0"/>
        <v>12</v>
      </c>
      <c r="Q1" s="373">
        <f t="shared" si="0"/>
        <v>13</v>
      </c>
      <c r="R1" s="373">
        <f t="shared" si="0"/>
        <v>14</v>
      </c>
      <c r="S1" s="373">
        <f t="shared" si="0"/>
        <v>15</v>
      </c>
      <c r="T1" s="373">
        <f t="shared" si="0"/>
        <v>16</v>
      </c>
      <c r="U1" s="373">
        <f t="shared" si="0"/>
        <v>17</v>
      </c>
      <c r="V1" s="373">
        <f t="shared" si="0"/>
        <v>18</v>
      </c>
      <c r="W1" s="373">
        <f t="shared" si="0"/>
        <v>19</v>
      </c>
      <c r="X1" s="373">
        <f t="shared" si="0"/>
        <v>20</v>
      </c>
      <c r="Y1" s="373">
        <f t="shared" si="0"/>
        <v>21</v>
      </c>
      <c r="Z1" s="373">
        <f t="shared" si="0"/>
        <v>22</v>
      </c>
      <c r="AA1" s="373">
        <f t="shared" si="0"/>
        <v>23</v>
      </c>
      <c r="AB1" s="373">
        <f t="shared" si="0"/>
        <v>24</v>
      </c>
      <c r="AC1" s="373">
        <f t="shared" si="0"/>
        <v>25</v>
      </c>
      <c r="AD1" s="373">
        <f t="shared" si="0"/>
        <v>26</v>
      </c>
      <c r="AE1" s="373">
        <f t="shared" si="0"/>
        <v>27</v>
      </c>
      <c r="AF1" s="373">
        <f t="shared" si="0"/>
        <v>28</v>
      </c>
      <c r="AG1" s="373">
        <f t="shared" si="0"/>
        <v>29</v>
      </c>
      <c r="AH1" s="373">
        <f t="shared" si="0"/>
        <v>30</v>
      </c>
      <c r="AI1" s="373">
        <f t="shared" si="0"/>
        <v>31</v>
      </c>
      <c r="AJ1" s="373">
        <f t="shared" si="0"/>
        <v>32</v>
      </c>
      <c r="AK1" s="373">
        <f t="shared" si="0"/>
        <v>33</v>
      </c>
      <c r="AL1" s="373">
        <f t="shared" si="0"/>
        <v>34</v>
      </c>
      <c r="AM1" s="373">
        <f t="shared" si="0"/>
        <v>35</v>
      </c>
      <c r="AN1" s="373">
        <f t="shared" si="0"/>
        <v>36</v>
      </c>
      <c r="AO1" s="373">
        <f t="shared" si="0"/>
        <v>37</v>
      </c>
      <c r="AP1" s="373">
        <f t="shared" si="0"/>
        <v>38</v>
      </c>
      <c r="AQ1" s="373">
        <f t="shared" si="0"/>
        <v>39</v>
      </c>
      <c r="AR1" s="373">
        <f t="shared" si="0"/>
        <v>40</v>
      </c>
      <c r="AS1" s="373">
        <f t="shared" si="0"/>
        <v>41</v>
      </c>
      <c r="AT1" s="373">
        <f t="shared" si="0"/>
        <v>42</v>
      </c>
      <c r="AU1" s="373">
        <f t="shared" si="0"/>
        <v>43</v>
      </c>
      <c r="AV1" s="373">
        <f t="shared" si="0"/>
        <v>44</v>
      </c>
      <c r="AW1" s="373">
        <f t="shared" si="0"/>
        <v>45</v>
      </c>
      <c r="AX1" s="373">
        <f t="shared" si="0"/>
        <v>46</v>
      </c>
      <c r="AY1" s="373">
        <f t="shared" si="0"/>
        <v>47</v>
      </c>
      <c r="AZ1" s="373">
        <f t="shared" si="0"/>
        <v>48</v>
      </c>
      <c r="BA1" s="373">
        <f t="shared" si="0"/>
        <v>49</v>
      </c>
      <c r="BB1" s="373">
        <f t="shared" si="0"/>
        <v>50</v>
      </c>
      <c r="BD1" s="9"/>
    </row>
    <row r="2" spans="1:56" s="220" customFormat="1" x14ac:dyDescent="0.2">
      <c r="D2" s="373" t="s">
        <v>95</v>
      </c>
      <c r="E2" s="380" t="s">
        <v>144</v>
      </c>
      <c r="F2" s="380" t="s">
        <v>145</v>
      </c>
      <c r="G2" s="380" t="s">
        <v>146</v>
      </c>
      <c r="H2" s="380" t="s">
        <v>147</v>
      </c>
      <c r="I2" s="380" t="s">
        <v>148</v>
      </c>
      <c r="J2" s="380" t="s">
        <v>149</v>
      </c>
      <c r="K2" s="380" t="s">
        <v>150</v>
      </c>
      <c r="L2" s="380" t="s">
        <v>151</v>
      </c>
      <c r="M2" s="380" t="s">
        <v>152</v>
      </c>
      <c r="N2" s="380" t="s">
        <v>153</v>
      </c>
      <c r="O2" s="380" t="s">
        <v>154</v>
      </c>
      <c r="P2" s="380" t="s">
        <v>155</v>
      </c>
      <c r="Q2" s="380" t="s">
        <v>156</v>
      </c>
      <c r="R2" s="380" t="s">
        <v>2</v>
      </c>
      <c r="S2" s="380" t="s">
        <v>3</v>
      </c>
      <c r="T2" s="380" t="s">
        <v>4</v>
      </c>
      <c r="U2" s="380" t="s">
        <v>5</v>
      </c>
      <c r="V2" s="380" t="s">
        <v>6</v>
      </c>
      <c r="W2" s="380" t="s">
        <v>7</v>
      </c>
      <c r="X2" s="380" t="s">
        <v>8</v>
      </c>
      <c r="Y2" s="380" t="s">
        <v>9</v>
      </c>
      <c r="Z2" s="380" t="s">
        <v>10</v>
      </c>
      <c r="AA2" s="380" t="s">
        <v>11</v>
      </c>
      <c r="AB2" s="380" t="s">
        <v>12</v>
      </c>
      <c r="AC2" s="380" t="s">
        <v>13</v>
      </c>
      <c r="AD2" s="380" t="s">
        <v>14</v>
      </c>
      <c r="AE2" s="380" t="s">
        <v>15</v>
      </c>
      <c r="AF2" s="380" t="s">
        <v>16</v>
      </c>
      <c r="AG2" s="380" t="s">
        <v>17</v>
      </c>
      <c r="AH2" s="380" t="s">
        <v>18</v>
      </c>
      <c r="AI2" s="380" t="s">
        <v>19</v>
      </c>
      <c r="AJ2" s="380" t="s">
        <v>20</v>
      </c>
      <c r="AK2" s="380" t="s">
        <v>21</v>
      </c>
      <c r="AL2" s="380" t="s">
        <v>22</v>
      </c>
      <c r="AM2" s="380" t="s">
        <v>23</v>
      </c>
      <c r="AN2" s="380" t="s">
        <v>24</v>
      </c>
      <c r="AO2" s="380" t="s">
        <v>25</v>
      </c>
      <c r="AP2" s="380" t="s">
        <v>26</v>
      </c>
      <c r="AQ2" s="380" t="s">
        <v>27</v>
      </c>
      <c r="AR2" s="380" t="s">
        <v>28</v>
      </c>
      <c r="AS2" s="380" t="s">
        <v>29</v>
      </c>
      <c r="AT2" s="380" t="s">
        <v>30</v>
      </c>
      <c r="AU2" s="380" t="s">
        <v>31</v>
      </c>
      <c r="AV2" s="380" t="s">
        <v>32</v>
      </c>
      <c r="AW2" s="380" t="s">
        <v>33</v>
      </c>
      <c r="AX2" s="380" t="s">
        <v>34</v>
      </c>
      <c r="AY2" s="380" t="s">
        <v>35</v>
      </c>
      <c r="AZ2" s="380" t="s">
        <v>36</v>
      </c>
      <c r="BA2" s="380" t="s">
        <v>37</v>
      </c>
      <c r="BB2" s="380" t="s">
        <v>38</v>
      </c>
    </row>
    <row r="3" spans="1:56" s="220" customFormat="1" x14ac:dyDescent="0.2">
      <c r="C3" s="7"/>
      <c r="D3" s="373" t="s">
        <v>96</v>
      </c>
      <c r="E3" s="373" t="s">
        <v>39</v>
      </c>
      <c r="F3" s="373" t="s">
        <v>40</v>
      </c>
      <c r="G3" s="373" t="s">
        <v>41</v>
      </c>
      <c r="H3" s="373" t="s">
        <v>42</v>
      </c>
      <c r="I3" s="373" t="s">
        <v>43</v>
      </c>
      <c r="J3" s="373" t="s">
        <v>44</v>
      </c>
      <c r="K3" s="373" t="s">
        <v>45</v>
      </c>
      <c r="L3" s="373" t="s">
        <v>46</v>
      </c>
      <c r="M3" s="373" t="s">
        <v>47</v>
      </c>
      <c r="N3" s="373" t="s">
        <v>48</v>
      </c>
      <c r="O3" s="373" t="s">
        <v>49</v>
      </c>
      <c r="P3" s="373" t="s">
        <v>50</v>
      </c>
      <c r="Q3" s="373" t="s">
        <v>51</v>
      </c>
      <c r="R3" s="373" t="s">
        <v>52</v>
      </c>
      <c r="S3" s="373" t="s">
        <v>53</v>
      </c>
      <c r="T3" s="373" t="s">
        <v>54</v>
      </c>
      <c r="U3" s="373" t="s">
        <v>55</v>
      </c>
      <c r="V3" s="373" t="s">
        <v>56</v>
      </c>
      <c r="W3" s="373" t="s">
        <v>57</v>
      </c>
      <c r="X3" s="373" t="s">
        <v>58</v>
      </c>
      <c r="Y3" s="373" t="s">
        <v>59</v>
      </c>
      <c r="Z3" s="373" t="s">
        <v>60</v>
      </c>
      <c r="AA3" s="373" t="s">
        <v>61</v>
      </c>
      <c r="AB3" s="373" t="s">
        <v>62</v>
      </c>
      <c r="AC3" s="373" t="s">
        <v>63</v>
      </c>
      <c r="AD3" s="373" t="s">
        <v>64</v>
      </c>
      <c r="AE3" s="373" t="s">
        <v>65</v>
      </c>
      <c r="AF3" s="373" t="s">
        <v>66</v>
      </c>
      <c r="AG3" s="373" t="s">
        <v>67</v>
      </c>
      <c r="AH3" s="373" t="s">
        <v>68</v>
      </c>
      <c r="AI3" s="373" t="s">
        <v>69</v>
      </c>
      <c r="AJ3" s="373" t="s">
        <v>70</v>
      </c>
      <c r="AK3" s="373" t="s">
        <v>71</v>
      </c>
      <c r="AL3" s="373" t="s">
        <v>72</v>
      </c>
      <c r="AM3" s="373" t="s">
        <v>73</v>
      </c>
      <c r="AN3" s="373" t="s">
        <v>74</v>
      </c>
      <c r="AO3" s="373" t="s">
        <v>75</v>
      </c>
      <c r="AP3" s="373" t="s">
        <v>76</v>
      </c>
      <c r="AQ3" s="373" t="s">
        <v>77</v>
      </c>
      <c r="AR3" s="373" t="s">
        <v>78</v>
      </c>
      <c r="AS3" s="373" t="s">
        <v>79</v>
      </c>
      <c r="AT3" s="373" t="s">
        <v>80</v>
      </c>
      <c r="AU3" s="373" t="s">
        <v>81</v>
      </c>
      <c r="AV3" s="373" t="s">
        <v>82</v>
      </c>
      <c r="AW3" s="373" t="s">
        <v>83</v>
      </c>
      <c r="AX3" s="373" t="s">
        <v>84</v>
      </c>
      <c r="AY3" s="373" t="s">
        <v>85</v>
      </c>
      <c r="AZ3" s="373" t="s">
        <v>86</v>
      </c>
      <c r="BA3" s="373" t="s">
        <v>87</v>
      </c>
      <c r="BB3" s="373" t="s">
        <v>88</v>
      </c>
      <c r="BD3" s="9"/>
    </row>
    <row r="4" spans="1:56" s="220" customFormat="1" x14ac:dyDescent="0.2">
      <c r="C4" s="7"/>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D4" s="9"/>
    </row>
    <row r="5" spans="1:56" s="220" customFormat="1" x14ac:dyDescent="0.2">
      <c r="C5" s="7"/>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D5" s="9"/>
    </row>
    <row r="6" spans="1:56" x14ac:dyDescent="0.2">
      <c r="B6" s="7" t="s">
        <v>104</v>
      </c>
      <c r="C6" s="385" t="s">
        <v>1017</v>
      </c>
      <c r="D6" s="371">
        <f t="shared" ref="D6:BB6" si="1">D7-D8+D9-D10-D11+D12-D13-D14-D15-D16-D17-D18-D19-D20-D21+D22-D23-D24-D25+D26-D27+D28+D29-D30-D31</f>
        <v>17295.307504444521</v>
      </c>
      <c r="E6" s="371">
        <f t="shared" si="1"/>
        <v>-943.03630457504187</v>
      </c>
      <c r="F6" s="371">
        <f t="shared" si="1"/>
        <v>65314.568265809387</v>
      </c>
      <c r="G6" s="371">
        <f t="shared" si="1"/>
        <v>17062.447527475539</v>
      </c>
      <c r="H6" s="371">
        <f t="shared" si="1"/>
        <v>779.40140520363275</v>
      </c>
      <c r="I6" s="371">
        <f t="shared" si="1"/>
        <v>24425.087041859533</v>
      </c>
      <c r="J6" s="371">
        <f t="shared" si="1"/>
        <v>21471.973763737715</v>
      </c>
      <c r="K6" s="371">
        <f t="shared" si="1"/>
        <v>29910.370001544856</v>
      </c>
      <c r="L6" s="371">
        <f t="shared" si="1"/>
        <v>22307.608079747428</v>
      </c>
      <c r="M6" s="371">
        <f t="shared" si="1"/>
        <v>19771.027293061248</v>
      </c>
      <c r="N6" s="371">
        <f t="shared" si="1"/>
        <v>12139.021270803574</v>
      </c>
      <c r="O6" s="371">
        <f t="shared" si="1"/>
        <v>29791.266721159882</v>
      </c>
      <c r="P6" s="371">
        <f t="shared" si="1"/>
        <v>19355.29709803185</v>
      </c>
      <c r="Q6" s="371">
        <f t="shared" si="1"/>
        <v>17944.070078211025</v>
      </c>
      <c r="R6" s="371">
        <f t="shared" si="1"/>
        <v>7237.9275724452418</v>
      </c>
      <c r="S6" s="371">
        <f t="shared" si="1"/>
        <v>10816.593772428412</v>
      </c>
      <c r="T6" s="371">
        <f t="shared" si="1"/>
        <v>12101.630555049822</v>
      </c>
      <c r="U6" s="371">
        <f t="shared" si="1"/>
        <v>2103.7214998477994</v>
      </c>
      <c r="V6" s="371">
        <f t="shared" si="1"/>
        <v>-9592.83266910366</v>
      </c>
      <c r="W6" s="371">
        <f t="shared" si="1"/>
        <v>21379.661112710102</v>
      </c>
      <c r="X6" s="371">
        <f t="shared" si="1"/>
        <v>27436.135272593914</v>
      </c>
      <c r="Y6" s="371">
        <f t="shared" si="1"/>
        <v>35029.814427994672</v>
      </c>
      <c r="Z6" s="371">
        <f t="shared" si="1"/>
        <v>16453.385413491524</v>
      </c>
      <c r="AA6" s="371">
        <f t="shared" si="1"/>
        <v>22039.777839690887</v>
      </c>
      <c r="AB6" s="371">
        <f t="shared" si="1"/>
        <v>332.50150929958181</v>
      </c>
      <c r="AC6" s="371">
        <f t="shared" si="1"/>
        <v>12749.027329315471</v>
      </c>
      <c r="AD6" s="371">
        <f t="shared" si="1"/>
        <v>13918.092721813731</v>
      </c>
      <c r="AE6" s="371">
        <f t="shared" si="1"/>
        <v>13215.982624653527</v>
      </c>
      <c r="AF6" s="371">
        <f t="shared" si="1"/>
        <v>24732.604149566876</v>
      </c>
      <c r="AG6" s="371">
        <f t="shared" si="1"/>
        <v>27236.788821407867</v>
      </c>
      <c r="AH6" s="371">
        <f t="shared" si="1"/>
        <v>26897.723148995072</v>
      </c>
      <c r="AI6" s="371">
        <f t="shared" si="1"/>
        <v>9174.8527416720808</v>
      </c>
      <c r="AJ6" s="371">
        <f t="shared" si="1"/>
        <v>28844.604524557311</v>
      </c>
      <c r="AK6" s="371">
        <f t="shared" si="1"/>
        <v>13090.954709893263</v>
      </c>
      <c r="AL6" s="371">
        <f t="shared" si="1"/>
        <v>-7620.3368900940823</v>
      </c>
      <c r="AM6" s="371">
        <f t="shared" si="1"/>
        <v>14717.334460934704</v>
      </c>
      <c r="AN6" s="371">
        <f t="shared" si="1"/>
        <v>5974.6912873212095</v>
      </c>
      <c r="AO6" s="371">
        <f t="shared" si="1"/>
        <v>24928.213371538935</v>
      </c>
      <c r="AP6" s="371">
        <f t="shared" si="1"/>
        <v>16417.96149501171</v>
      </c>
      <c r="AQ6" s="371">
        <f t="shared" si="1"/>
        <v>27032.812553773318</v>
      </c>
      <c r="AR6" s="371">
        <f t="shared" si="1"/>
        <v>7121.8437064503651</v>
      </c>
      <c r="AS6" s="371">
        <f t="shared" si="1"/>
        <v>22764.325306858402</v>
      </c>
      <c r="AT6" s="371">
        <f t="shared" si="1"/>
        <v>11457.038130860456</v>
      </c>
      <c r="AU6" s="371">
        <f t="shared" si="1"/>
        <v>6161.7417676242912</v>
      </c>
      <c r="AV6" s="371">
        <f t="shared" si="1"/>
        <v>16872.479814119033</v>
      </c>
      <c r="AW6" s="371">
        <f t="shared" si="1"/>
        <v>25480.57341441363</v>
      </c>
      <c r="AX6" s="371">
        <f t="shared" si="1"/>
        <v>22409.298810872569</v>
      </c>
      <c r="AY6" s="371">
        <f t="shared" si="1"/>
        <v>29157.717267022508</v>
      </c>
      <c r="AZ6" s="371">
        <f t="shared" si="1"/>
        <v>-4924.2618386140848</v>
      </c>
      <c r="BA6" s="371">
        <f t="shared" si="1"/>
        <v>17056.770934400167</v>
      </c>
      <c r="BB6" s="371">
        <f t="shared" si="1"/>
        <v>-31902.896936614201</v>
      </c>
    </row>
    <row r="7" spans="1:56" s="385" customFormat="1" x14ac:dyDescent="0.2">
      <c r="A7" s="18">
        <v>1</v>
      </c>
      <c r="B7" s="385" t="s">
        <v>105</v>
      </c>
      <c r="C7" s="385" t="s">
        <v>1017</v>
      </c>
      <c r="D7" s="371">
        <f>'GPI Summary'!C5/D$34*1000000000</f>
        <v>34372.101437470272</v>
      </c>
      <c r="E7" s="371">
        <f>'GPI Summary'!D5/E$34*1000000000</f>
        <v>28268.89917311466</v>
      </c>
      <c r="F7" s="371">
        <f>'GPI Summary'!E5/F$34*1000000000</f>
        <v>35142.154560274088</v>
      </c>
      <c r="G7" s="371">
        <f>'GPI Summary'!F5/G$34*1000000000</f>
        <v>34266.616053184356</v>
      </c>
      <c r="H7" s="371">
        <f>'GPI Summary'!G5/H$34*1000000000</f>
        <v>27227.417849833699</v>
      </c>
      <c r="I7" s="371">
        <f>'GPI Summary'!H5/I$34*1000000000</f>
        <v>37280.901651109511</v>
      </c>
      <c r="J7" s="371">
        <f>'GPI Summary'!I5/J$34*1000000000</f>
        <v>34794.075877459924</v>
      </c>
      <c r="K7" s="371">
        <f>'GPI Summary'!J5/K$34*1000000000</f>
        <v>41764.934339676089</v>
      </c>
      <c r="L7" s="371">
        <f>'GPI Summary'!K5/L$34*1000000000</f>
        <v>37143.07422778722</v>
      </c>
      <c r="M7" s="371">
        <f>'GPI Summary'!L5/M$34*1000000000</f>
        <v>36398.20059068469</v>
      </c>
      <c r="N7" s="371">
        <f>'GPI Summary'!M5/N$34*1000000000</f>
        <v>31070.903728524754</v>
      </c>
      <c r="O7" s="371">
        <f>'GPI Summary'!N5/O$34*1000000000</f>
        <v>36730.959148236485</v>
      </c>
      <c r="P7" s="371">
        <f>'GPI Summary'!O5/P$34*1000000000</f>
        <v>31089.620544734502</v>
      </c>
      <c r="Q7" s="371">
        <f>'GPI Summary'!P5/Q$34*1000000000</f>
        <v>34627.261863214779</v>
      </c>
      <c r="R7" s="371">
        <f>'GPI Summary'!Q5/R$34*1000000000</f>
        <v>30878.314910195935</v>
      </c>
      <c r="S7" s="371">
        <f>'GPI Summary'!R5/S$34*1000000000</f>
        <v>31174.274182573201</v>
      </c>
      <c r="T7" s="371">
        <f>'GPI Summary'!S5/T$34*1000000000</f>
        <v>30770.077613254805</v>
      </c>
      <c r="U7" s="371">
        <f>'GPI Summary'!T5/U$34*1000000000</f>
        <v>29189.702148980927</v>
      </c>
      <c r="V7" s="371">
        <f>'GPI Summary'!U5/V$34*1000000000</f>
        <v>32261.322218447895</v>
      </c>
      <c r="W7" s="371">
        <f>'GPI Summary'!V5/W$34*1000000000</f>
        <v>36250.963460751023</v>
      </c>
      <c r="X7" s="371">
        <f>'GPI Summary'!W5/X$34*1000000000</f>
        <v>38723.385891979749</v>
      </c>
      <c r="Y7" s="371">
        <f>'GPI Summary'!X5/Y$34*1000000000</f>
        <v>44786.720998915844</v>
      </c>
      <c r="Z7" s="371">
        <f>'GPI Summary'!Y5/Z$34*1000000000</f>
        <v>31211.117850810195</v>
      </c>
      <c r="AA7" s="371">
        <f>'GPI Summary'!Z5/AA$34*1000000000</f>
        <v>36179.012993288765</v>
      </c>
      <c r="AB7" s="371">
        <f>'GPI Summary'!AA5/AB$34*1000000000</f>
        <v>28060.52278840635</v>
      </c>
      <c r="AC7" s="371">
        <f>'GPI Summary'!AB5/AC$34*1000000000</f>
        <v>32212.600333101233</v>
      </c>
      <c r="AD7" s="371">
        <f>'GPI Summary'!AC5/AD$34*1000000000</f>
        <v>35515.858497875546</v>
      </c>
      <c r="AE7" s="371">
        <f>'GPI Summary'!AD5/AE$34*1000000000</f>
        <v>32146.839109472519</v>
      </c>
      <c r="AF7" s="371">
        <f>'GPI Summary'!AE5/AF$34*1000000000</f>
        <v>34319.499652209459</v>
      </c>
      <c r="AG7" s="371">
        <f>'GPI Summary'!AF5/AG$34*1000000000</f>
        <v>38388.018882886492</v>
      </c>
      <c r="AH7" s="371">
        <f>'GPI Summary'!AG5/AH$34*1000000000</f>
        <v>40452.99183125588</v>
      </c>
      <c r="AI7" s="371">
        <f>'GPI Summary'!AH5/AI$34*1000000000</f>
        <v>31448.413748379971</v>
      </c>
      <c r="AJ7" s="371">
        <f>'GPI Summary'!AI5/AJ$34*1000000000</f>
        <v>38934.41446083237</v>
      </c>
      <c r="AK7" s="371">
        <f>'GPI Summary'!AJ5/AK$34*1000000000</f>
        <v>30665.095999907986</v>
      </c>
      <c r="AL7" s="371">
        <f>'GPI Summary'!AK5/AL$34*1000000000</f>
        <v>37149.867102841956</v>
      </c>
      <c r="AM7" s="371">
        <f>'GPI Summary'!AL5/AM$34*1000000000</f>
        <v>31063.233910177853</v>
      </c>
      <c r="AN7" s="371">
        <f>'GPI Summary'!AM5/AN$34*1000000000</f>
        <v>30643.500293195615</v>
      </c>
      <c r="AO7" s="371">
        <f>'GPI Summary'!AN5/AO$34*1000000000</f>
        <v>34959.667589483455</v>
      </c>
      <c r="AP7" s="371">
        <f>'GPI Summary'!AO5/AP$34*1000000000</f>
        <v>34374.983325418463</v>
      </c>
      <c r="AQ7" s="371">
        <f>'GPI Summary'!AP5/AQ$34*1000000000</f>
        <v>36448.051960412922</v>
      </c>
      <c r="AR7" s="371">
        <f>'GPI Summary'!AQ5/AR$34*1000000000</f>
        <v>30653.184825953464</v>
      </c>
      <c r="AS7" s="371">
        <f>'GPI Summary'!AR5/AS$34*1000000000</f>
        <v>33684.113390958883</v>
      </c>
      <c r="AT7" s="371">
        <f>'GPI Summary'!AS5/AT$34*1000000000</f>
        <v>30911.028757675842</v>
      </c>
      <c r="AU7" s="371">
        <f>'GPI Summary'!AT5/AU$34*1000000000</f>
        <v>30635.096792739074</v>
      </c>
      <c r="AV7" s="371">
        <f>'GPI Summary'!AU5/AV$34*1000000000</f>
        <v>29880.466054825505</v>
      </c>
      <c r="AW7" s="371">
        <f>'GPI Summary'!AV5/AW$34*1000000000</f>
        <v>37249.119043971194</v>
      </c>
      <c r="AX7" s="371">
        <f>'GPI Summary'!AW5/AX$34*1000000000</f>
        <v>36133.899874438335</v>
      </c>
      <c r="AY7" s="371">
        <f>'GPI Summary'!AX5/AY$34*1000000000</f>
        <v>38230.073658263696</v>
      </c>
      <c r="AZ7" s="371">
        <f>'GPI Summary'!AY5/AZ$34*1000000000</f>
        <v>30775.111218453963</v>
      </c>
      <c r="BA7" s="371">
        <f>'GPI Summary'!AZ5/BA$34*1000000000</f>
        <v>32541.174949994249</v>
      </c>
      <c r="BB7" s="371">
        <f>'GPI Summary'!BA5/BB$34*1000000000</f>
        <v>34281.826578021559</v>
      </c>
    </row>
    <row r="8" spans="1:56" x14ac:dyDescent="0.2">
      <c r="A8" s="7">
        <v>3</v>
      </c>
      <c r="B8" s="7" t="s">
        <v>1018</v>
      </c>
      <c r="C8" s="385" t="s">
        <v>1017</v>
      </c>
      <c r="D8" s="371">
        <f>'GPI Summary'!C6/D$34*1000000000</f>
        <v>7884.8981175443487</v>
      </c>
      <c r="E8" s="371">
        <f>'GPI Summary'!D6/E$34*1000000000</f>
        <v>6716.4755163155232</v>
      </c>
      <c r="F8" s="371">
        <f>'GPI Summary'!E6/F$34*1000000000</f>
        <v>4192.3673042142091</v>
      </c>
      <c r="G8" s="371">
        <f>'GPI Summary'!F6/G$34*1000000000</f>
        <v>7374.771715794026</v>
      </c>
      <c r="H8" s="371">
        <f>'GPI Summary'!G6/H$34*1000000000</f>
        <v>6243.0074232966235</v>
      </c>
      <c r="I8" s="371">
        <f>'GPI Summary'!H6/I$34*1000000000</f>
        <v>9312.4779269812225</v>
      </c>
      <c r="J8" s="371">
        <f>'GPI Summary'!I6/J$34*1000000000</f>
        <v>7416.8714490313432</v>
      </c>
      <c r="K8" s="371">
        <f>'GPI Summary'!J6/K$34*1000000000</f>
        <v>10735.625229523655</v>
      </c>
      <c r="L8" s="371">
        <f>'GPI Summary'!K6/L$34*1000000000</f>
        <v>6696.5488049189526</v>
      </c>
      <c r="M8" s="371">
        <f>'GPI Summary'!L6/M$34*1000000000</f>
        <v>9086.3103116633411</v>
      </c>
      <c r="N8" s="371">
        <f>'GPI Summary'!M6/N$34*1000000000</f>
        <v>7556.0269025343232</v>
      </c>
      <c r="O8" s="371">
        <f>'GPI Summary'!N6/O$34*1000000000</f>
        <v>5901.2073404862595</v>
      </c>
      <c r="P8" s="371">
        <f>'GPI Summary'!O6/P$34*1000000000</f>
        <v>5109.6367098984992</v>
      </c>
      <c r="Q8" s="371">
        <f>'GPI Summary'!P6/Q$34*1000000000</f>
        <v>8132.0487800852015</v>
      </c>
      <c r="R8" s="371">
        <f>'GPI Summary'!Q6/R$34*1000000000</f>
        <v>5890.4832971478909</v>
      </c>
      <c r="S8" s="371">
        <f>'GPI Summary'!R6/S$34*1000000000</f>
        <v>5243.5991136586263</v>
      </c>
      <c r="T8" s="371">
        <f>'GPI Summary'!S6/T$34*1000000000</f>
        <v>5763.3283597991858</v>
      </c>
      <c r="U8" s="371">
        <f>'GPI Summary'!T6/U$34*1000000000</f>
        <v>6812.3768659439447</v>
      </c>
      <c r="V8" s="371">
        <f>'GPI Summary'!U6/V$34*1000000000</f>
        <v>8178.7388419803792</v>
      </c>
      <c r="W8" s="371">
        <f>'GPI Summary'!V6/W$34*1000000000</f>
        <v>7227.6815593735164</v>
      </c>
      <c r="X8" s="371">
        <f>'GPI Summary'!W6/X$34*1000000000</f>
        <v>7422.1268077775776</v>
      </c>
      <c r="Y8" s="371">
        <f>'GPI Summary'!X6/Y$34*1000000000</f>
        <v>10898.634055699291</v>
      </c>
      <c r="Z8" s="371">
        <f>'GPI Summary'!Y6/Z$34*1000000000</f>
        <v>6780.9063500676139</v>
      </c>
      <c r="AA8" s="371">
        <f>'GPI Summary'!Z6/AA$34*1000000000</f>
        <v>6736.6692363517877</v>
      </c>
      <c r="AB8" s="371">
        <f>'GPI Summary'!AA6/AB$34*1000000000</f>
        <v>6666.9668715854577</v>
      </c>
      <c r="AC8" s="371">
        <f>'GPI Summary'!AB6/AC$34*1000000000</f>
        <v>6993.0195041063462</v>
      </c>
      <c r="AD8" s="371">
        <f>'GPI Summary'!AC6/AD$34*1000000000</f>
        <v>6048.5523205988929</v>
      </c>
      <c r="AE8" s="371">
        <f>'GPI Summary'!AD6/AE$34*1000000000</f>
        <v>6167.4146220769971</v>
      </c>
      <c r="AF8" s="371">
        <f>'GPI Summary'!AE6/AF$34*1000000000</f>
        <v>6945.793566377346</v>
      </c>
      <c r="AG8" s="371">
        <f>'GPI Summary'!AF6/AG$34*1000000000</f>
        <v>6508.3896748763154</v>
      </c>
      <c r="AH8" s="371">
        <f>'GPI Summary'!AG6/AH$34*1000000000</f>
        <v>9341.935054342006</v>
      </c>
      <c r="AI8" s="371">
        <f>'GPI Summary'!AH6/AI$34*1000000000</f>
        <v>7899.6119164671545</v>
      </c>
      <c r="AJ8" s="371">
        <f>'GPI Summary'!AI6/AJ$34*1000000000</f>
        <v>11008.081020815514</v>
      </c>
      <c r="AK8" s="371">
        <f>'GPI Summary'!AJ6/AK$34*1000000000</f>
        <v>7191.602242556879</v>
      </c>
      <c r="AL8" s="371">
        <f>'GPI Summary'!AK6/AL$34*1000000000</f>
        <v>6999.0082356523235</v>
      </c>
      <c r="AM8" s="371">
        <f>'GPI Summary'!AL6/AM$34*1000000000</f>
        <v>6653.5093965204605</v>
      </c>
      <c r="AN8" s="371">
        <f>'GPI Summary'!AM6/AN$34*1000000000</f>
        <v>6662.7857780349441</v>
      </c>
      <c r="AO8" s="371">
        <f>'GPI Summary'!AN6/AO$34*1000000000</f>
        <v>7440.1734773955222</v>
      </c>
      <c r="AP8" s="371">
        <f>'GPI Summary'!AO6/AP$34*1000000000</f>
        <v>7462.4502946744506</v>
      </c>
      <c r="AQ8" s="371">
        <f>'GPI Summary'!AP6/AQ$34*1000000000</f>
        <v>8297.1175194435928</v>
      </c>
      <c r="AR8" s="371">
        <f>'GPI Summary'!AQ6/AR$34*1000000000</f>
        <v>6845.5262154345319</v>
      </c>
      <c r="AS8" s="371">
        <f>'GPI Summary'!AR6/AS$34*1000000000</f>
        <v>5562.0853286643496</v>
      </c>
      <c r="AT8" s="371">
        <f>'GPI Summary'!AS6/AT$34*1000000000</f>
        <v>7448.2840530480498</v>
      </c>
      <c r="AU8" s="371">
        <f>'GPI Summary'!AT6/AU$34*1000000000</f>
        <v>7454.9040822406369</v>
      </c>
      <c r="AV8" s="371">
        <f>'GPI Summary'!AU6/AV$34*1000000000</f>
        <v>4493.6732899584576</v>
      </c>
      <c r="AW8" s="371">
        <f>'GPI Summary'!AV6/AW$34*1000000000</f>
        <v>6035.2565210519751</v>
      </c>
      <c r="AX8" s="371">
        <f>'GPI Summary'!AW6/AX$34*1000000000</f>
        <v>7972.5487201373035</v>
      </c>
      <c r="AY8" s="371">
        <f>'GPI Summary'!AX6/AY$34*1000000000</f>
        <v>7209.4924251030025</v>
      </c>
      <c r="AZ8" s="371">
        <f>'GPI Summary'!AY6/AZ$34*1000000000</f>
        <v>7242.3530107397501</v>
      </c>
      <c r="BA8" s="371">
        <f>'GPI Summary'!AZ6/BA$34*1000000000</f>
        <v>5659.3347739120436</v>
      </c>
      <c r="BB8" s="371">
        <f>'GPI Summary'!BA6/BB$34*1000000000</f>
        <v>3956.5646454908519</v>
      </c>
    </row>
    <row r="9" spans="1:56" x14ac:dyDescent="0.2">
      <c r="A9" s="7">
        <v>4</v>
      </c>
      <c r="B9" s="7" t="s">
        <v>1019</v>
      </c>
      <c r="C9" s="385" t="s">
        <v>1017</v>
      </c>
      <c r="D9" s="371">
        <f>'GPI Summary'!C7/D$34*1000000000</f>
        <v>6238.3959319355345</v>
      </c>
      <c r="E9" s="371">
        <f>'GPI Summary'!D7/E$34*1000000000</f>
        <v>5263.0298349173991</v>
      </c>
      <c r="F9" s="371">
        <f>'GPI Summary'!E7/F$34*1000000000</f>
        <v>6465.2341021947777</v>
      </c>
      <c r="G9" s="371">
        <f>'GPI Summary'!F7/G$34*1000000000</f>
        <v>5281.4941675273585</v>
      </c>
      <c r="H9" s="371">
        <f>'GPI Summary'!G7/H$34*1000000000</f>
        <v>4937.681068091807</v>
      </c>
      <c r="I9" s="371">
        <f>'GPI Summary'!H7/I$34*1000000000</f>
        <v>6653.3270787455203</v>
      </c>
      <c r="J9" s="371">
        <f>'GPI Summary'!I7/J$34*1000000000</f>
        <v>6357.9519133467684</v>
      </c>
      <c r="K9" s="371">
        <f>'GPI Summary'!J7/K$34*1000000000</f>
        <v>8812.201855795076</v>
      </c>
      <c r="L9" s="371">
        <f>'GPI Summary'!K7/L$34*1000000000</f>
        <v>6516.8293924541777</v>
      </c>
      <c r="M9" s="371">
        <f>'GPI Summary'!L7/M$34*1000000000</f>
        <v>6103.7502048940596</v>
      </c>
      <c r="N9" s="371">
        <f>'GPI Summary'!M7/N$34*1000000000</f>
        <v>5487.6226028246938</v>
      </c>
      <c r="O9" s="371">
        <f>'GPI Summary'!N7/O$34*1000000000</f>
        <v>6147.3683556795277</v>
      </c>
      <c r="P9" s="371">
        <f>'GPI Summary'!O7/P$34*1000000000</f>
        <v>4929.7562572060078</v>
      </c>
      <c r="Q9" s="371">
        <f>'GPI Summary'!P7/Q$34*1000000000</f>
        <v>6732.7489161392496</v>
      </c>
      <c r="R9" s="371">
        <f>'GPI Summary'!Q7/R$34*1000000000</f>
        <v>5487.956959020089</v>
      </c>
      <c r="S9" s="371">
        <f>'GPI Summary'!R7/S$34*1000000000</f>
        <v>5924.4559865164847</v>
      </c>
      <c r="T9" s="371">
        <f>'GPI Summary'!S7/T$34*1000000000</f>
        <v>5972.7633716855762</v>
      </c>
      <c r="U9" s="371">
        <f>'GPI Summary'!T7/U$34*1000000000</f>
        <v>5138.8390877550319</v>
      </c>
      <c r="V9" s="371">
        <f>'GPI Summary'!U7/V$34*1000000000</f>
        <v>5546.4834093680765</v>
      </c>
      <c r="W9" s="371">
        <f>'GPI Summary'!V7/W$34*1000000000</f>
        <v>5934.2351024631844</v>
      </c>
      <c r="X9" s="371">
        <f>'GPI Summary'!W7/X$34*1000000000</f>
        <v>7711.6198093181911</v>
      </c>
      <c r="Y9" s="371">
        <f>'GPI Summary'!X7/Y$34*1000000000</f>
        <v>8041.818719965021</v>
      </c>
      <c r="Z9" s="371">
        <f>'GPI Summary'!Y7/Z$34*1000000000</f>
        <v>5888.0140692546029</v>
      </c>
      <c r="AA9" s="371">
        <f>'GPI Summary'!Z7/AA$34*1000000000</f>
        <v>6613.3392337066061</v>
      </c>
      <c r="AB9" s="371">
        <f>'GPI Summary'!AA7/AB$34*1000000000</f>
        <v>4786.405951522047</v>
      </c>
      <c r="AC9" s="371">
        <f>'GPI Summary'!AB7/AC$34*1000000000</f>
        <v>5756.6729668504349</v>
      </c>
      <c r="AD9" s="371">
        <f>'GPI Summary'!AC7/AD$34*1000000000</f>
        <v>5148.5493907868677</v>
      </c>
      <c r="AE9" s="371">
        <f>'GPI Summary'!AD7/AE$34*1000000000</f>
        <v>6112.5052456551775</v>
      </c>
      <c r="AF9" s="371">
        <f>'GPI Summary'!AE7/AF$34*1000000000</f>
        <v>5990.5042470770759</v>
      </c>
      <c r="AG9" s="371">
        <f>'GPI Summary'!AF7/AG$34*1000000000</f>
        <v>7135.9954428702349</v>
      </c>
      <c r="AH9" s="371">
        <f>'GPI Summary'!AG7/AH$34*1000000000</f>
        <v>8133.2749469108176</v>
      </c>
      <c r="AI9" s="371">
        <f>'GPI Summary'!AH7/AI$34*1000000000</f>
        <v>4943.3136832051923</v>
      </c>
      <c r="AJ9" s="371">
        <f>'GPI Summary'!AI7/AJ$34*1000000000</f>
        <v>7618.0580153568017</v>
      </c>
      <c r="AK9" s="371">
        <f>'GPI Summary'!AJ7/AK$34*1000000000</f>
        <v>5399.1377133202996</v>
      </c>
      <c r="AL9" s="371">
        <f>'GPI Summary'!AK7/AL$34*1000000000</f>
        <v>5761.9948975566249</v>
      </c>
      <c r="AM9" s="371">
        <f>'GPI Summary'!AL7/AM$34*1000000000</f>
        <v>5851.312142052032</v>
      </c>
      <c r="AN9" s="371">
        <f>'GPI Summary'!AM7/AN$34*1000000000</f>
        <v>5470.865212400201</v>
      </c>
      <c r="AO9" s="371">
        <f>'GPI Summary'!AN7/AO$34*1000000000</f>
        <v>5565.6432111571348</v>
      </c>
      <c r="AP9" s="371">
        <f>'GPI Summary'!AO7/AP$34*1000000000</f>
        <v>6515.5198506483048</v>
      </c>
      <c r="AQ9" s="371">
        <f>'GPI Summary'!AP7/AQ$34*1000000000</f>
        <v>6843.3718599430913</v>
      </c>
      <c r="AR9" s="371">
        <f>'GPI Summary'!AQ7/AR$34*1000000000</f>
        <v>5011.6295006617538</v>
      </c>
      <c r="AS9" s="371">
        <f>'GPI Summary'!AR7/AS$34*1000000000</f>
        <v>5896.2360179923335</v>
      </c>
      <c r="AT9" s="371">
        <f>'GPI Summary'!AS7/AT$34*1000000000</f>
        <v>5479.0874939202922</v>
      </c>
      <c r="AU9" s="371">
        <f>'GPI Summary'!AT7/AU$34*1000000000</f>
        <v>5592.2385520821535</v>
      </c>
      <c r="AV9" s="371">
        <f>'GPI Summary'!AU7/AV$34*1000000000</f>
        <v>4803.4305727902884</v>
      </c>
      <c r="AW9" s="371">
        <f>'GPI Summary'!AV7/AW$34*1000000000</f>
        <v>6368.369327085803</v>
      </c>
      <c r="AX9" s="371">
        <f>'GPI Summary'!AW7/AX$34*1000000000</f>
        <v>6860.1375653950281</v>
      </c>
      <c r="AY9" s="371">
        <f>'GPI Summary'!AX7/AY$34*1000000000</f>
        <v>6431.8001243892604</v>
      </c>
      <c r="AZ9" s="371">
        <f>'GPI Summary'!AY7/AZ$34*1000000000</f>
        <v>4870.4214990029959</v>
      </c>
      <c r="BA9" s="371">
        <f>'GPI Summary'!AZ7/BA$34*1000000000</f>
        <v>6085.0474878083114</v>
      </c>
      <c r="BB9" s="371">
        <f>'GPI Summary'!BA7/BB$34*1000000000</f>
        <v>6687.602472079313</v>
      </c>
    </row>
    <row r="10" spans="1:56" x14ac:dyDescent="0.2">
      <c r="A10" s="7">
        <v>5</v>
      </c>
      <c r="B10" s="7" t="s">
        <v>106</v>
      </c>
      <c r="C10" s="385" t="s">
        <v>1017</v>
      </c>
      <c r="D10" s="371">
        <f>'GPI Summary'!C8/D$34*1000000000</f>
        <v>3617.5508092958971</v>
      </c>
      <c r="E10" s="371">
        <f>'GPI Summary'!D8/E$34*1000000000</f>
        <v>2991.8158728412432</v>
      </c>
      <c r="F10" s="371">
        <f>'GPI Summary'!E8/F$34*1000000000</f>
        <v>4121.1616277283101</v>
      </c>
      <c r="G10" s="371">
        <f>'GPI Summary'!F8/G$34*1000000000</f>
        <v>3036.0916074758034</v>
      </c>
      <c r="H10" s="371">
        <f>'GPI Summary'!G8/H$34*1000000000</f>
        <v>2914.9801628699793</v>
      </c>
      <c r="I10" s="371">
        <f>'GPI Summary'!H8/I$34*1000000000</f>
        <v>3825.8934026996471</v>
      </c>
      <c r="J10" s="371">
        <f>'GPI Summary'!I8/J$34*1000000000</f>
        <v>3784.1296372533989</v>
      </c>
      <c r="K10" s="371">
        <f>'GPI Summary'!J8/K$34*1000000000</f>
        <v>4947.2610974636227</v>
      </c>
      <c r="L10" s="371">
        <f>'GPI Summary'!K8/L$34*1000000000</f>
        <v>3666.438331113196</v>
      </c>
      <c r="M10" s="371">
        <f>'GPI Summary'!L8/M$34*1000000000</f>
        <v>3417.2773689183787</v>
      </c>
      <c r="N10" s="371">
        <f>'GPI Summary'!M8/N$34*1000000000</f>
        <v>3114.8968952302744</v>
      </c>
      <c r="O10" s="371">
        <f>'GPI Summary'!N8/O$34*1000000000</f>
        <v>3735.0883506864993</v>
      </c>
      <c r="P10" s="371">
        <f>'GPI Summary'!O8/P$34*1000000000</f>
        <v>2863.9439791191103</v>
      </c>
      <c r="Q10" s="371">
        <f>'GPI Summary'!P8/Q$34*1000000000</f>
        <v>3777.9265320349577</v>
      </c>
      <c r="R10" s="371">
        <f>'GPI Summary'!Q8/R$34*1000000000</f>
        <v>3112.8445829772345</v>
      </c>
      <c r="S10" s="371">
        <f>'GPI Summary'!R8/S$34*1000000000</f>
        <v>3637.7236848739976</v>
      </c>
      <c r="T10" s="371">
        <f>'GPI Summary'!S8/T$34*1000000000</f>
        <v>3604.2696377305629</v>
      </c>
      <c r="U10" s="371">
        <f>'GPI Summary'!T8/U$34*1000000000</f>
        <v>2958.9126540932266</v>
      </c>
      <c r="V10" s="371">
        <f>'GPI Summary'!U8/V$34*1000000000</f>
        <v>3308.2259993744078</v>
      </c>
      <c r="W10" s="371">
        <f>'GPI Summary'!V8/W$34*1000000000</f>
        <v>3330.2295627705462</v>
      </c>
      <c r="X10" s="371">
        <f>'GPI Summary'!W8/X$34*1000000000</f>
        <v>4488.4331563127362</v>
      </c>
      <c r="Y10" s="371">
        <f>'GPI Summary'!X8/Y$34*1000000000</f>
        <v>4644.027949053565</v>
      </c>
      <c r="Z10" s="371">
        <f>'GPI Summary'!Y8/Z$34*1000000000</f>
        <v>3171.9315222208074</v>
      </c>
      <c r="AA10" s="371">
        <f>'GPI Summary'!Z8/AA$34*1000000000</f>
        <v>3866.0622351966085</v>
      </c>
      <c r="AB10" s="371">
        <f>'GPI Summary'!AA8/AB$34*1000000000</f>
        <v>2757.5225649370645</v>
      </c>
      <c r="AC10" s="371">
        <f>'GPI Summary'!AB8/AC$34*1000000000</f>
        <v>3253.8646471360876</v>
      </c>
      <c r="AD10" s="371">
        <f>'GPI Summary'!AC8/AD$34*1000000000</f>
        <v>3144.9174319410126</v>
      </c>
      <c r="AE10" s="371">
        <f>'GPI Summary'!AD8/AE$34*1000000000</f>
        <v>3739.1385448227065</v>
      </c>
      <c r="AF10" s="371">
        <f>'GPI Summary'!AE8/AF$34*1000000000</f>
        <v>3203.1118287561781</v>
      </c>
      <c r="AG10" s="371">
        <f>'GPI Summary'!AF8/AG$34*1000000000</f>
        <v>4072.2088506994987</v>
      </c>
      <c r="AH10" s="371">
        <f>'GPI Summary'!AG8/AH$34*1000000000</f>
        <v>4568.2631999255718</v>
      </c>
      <c r="AI10" s="371">
        <f>'GPI Summary'!AH8/AI$34*1000000000</f>
        <v>2979.2426354709269</v>
      </c>
      <c r="AJ10" s="371">
        <f>'GPI Summary'!AI8/AJ$34*1000000000</f>
        <v>4446.6850297592309</v>
      </c>
      <c r="AK10" s="371">
        <f>'GPI Summary'!AJ8/AK$34*1000000000</f>
        <v>3128.0892389828236</v>
      </c>
      <c r="AL10" s="371">
        <f>'GPI Summary'!AK8/AL$34*1000000000</f>
        <v>4044.4581333881247</v>
      </c>
      <c r="AM10" s="371">
        <f>'GPI Summary'!AL8/AM$34*1000000000</f>
        <v>3311.1247966514393</v>
      </c>
      <c r="AN10" s="371">
        <f>'GPI Summary'!AM8/AN$34*1000000000</f>
        <v>3337.0841669062606</v>
      </c>
      <c r="AO10" s="371">
        <f>'GPI Summary'!AN8/AO$34*1000000000</f>
        <v>3232.9392701870752</v>
      </c>
      <c r="AP10" s="371">
        <f>'GPI Summary'!AO8/AP$34*1000000000</f>
        <v>3752.7632509982163</v>
      </c>
      <c r="AQ10" s="371">
        <f>'GPI Summary'!AP8/AQ$34*1000000000</f>
        <v>3822.0439234233709</v>
      </c>
      <c r="AR10" s="371">
        <f>'GPI Summary'!AQ8/AR$34*1000000000</f>
        <v>2927.9111773707546</v>
      </c>
      <c r="AS10" s="371">
        <f>'GPI Summary'!AR8/AS$34*1000000000</f>
        <v>3841.0321469688547</v>
      </c>
      <c r="AT10" s="371">
        <f>'GPI Summary'!AS8/AT$34*1000000000</f>
        <v>3180.2924306822752</v>
      </c>
      <c r="AU10" s="371">
        <f>'GPI Summary'!AT8/AU$34*1000000000</f>
        <v>3520.7036025818816</v>
      </c>
      <c r="AV10" s="371">
        <f>'GPI Summary'!AU8/AV$34*1000000000</f>
        <v>2927.0987465409103</v>
      </c>
      <c r="AW10" s="371">
        <f>'GPI Summary'!AV8/AW$34*1000000000</f>
        <v>3675.5145858418205</v>
      </c>
      <c r="AX10" s="371">
        <f>'GPI Summary'!AW8/AX$34*1000000000</f>
        <v>4036.6085149681721</v>
      </c>
      <c r="AY10" s="371">
        <f>'GPI Summary'!AX8/AY$34*1000000000</f>
        <v>3804.7712343267599</v>
      </c>
      <c r="AZ10" s="371">
        <f>'GPI Summary'!AY8/AZ$34*1000000000</f>
        <v>2897.0525074064753</v>
      </c>
      <c r="BA10" s="371">
        <f>'GPI Summary'!AZ8/BA$34*1000000000</f>
        <v>3481.7106670185649</v>
      </c>
      <c r="BB10" s="371">
        <f>'GPI Summary'!BA8/BB$34*1000000000</f>
        <v>4215.2112439367183</v>
      </c>
    </row>
    <row r="11" spans="1:56" x14ac:dyDescent="0.2">
      <c r="A11" s="7">
        <v>6</v>
      </c>
      <c r="B11" s="7" t="s">
        <v>107</v>
      </c>
      <c r="C11" s="385" t="s">
        <v>1017</v>
      </c>
      <c r="D11" s="371">
        <f>'GPI Summary'!C9/D$34*1000000000</f>
        <v>1392.814784054068</v>
      </c>
      <c r="E11" s="371">
        <f>'GPI Summary'!D9/E$34*1000000000</f>
        <v>1130.163017547213</v>
      </c>
      <c r="F11" s="371">
        <f>'GPI Summary'!E9/F$34*1000000000</f>
        <v>1371.5039728924971</v>
      </c>
      <c r="G11" s="371">
        <f>'GPI Summary'!F9/G$34*1000000000</f>
        <v>1447.4022833648942</v>
      </c>
      <c r="H11" s="371">
        <f>'GPI Summary'!G9/H$34*1000000000</f>
        <v>921.88758344117878</v>
      </c>
      <c r="I11" s="371">
        <f>'GPI Summary'!H9/I$34*1000000000</f>
        <v>2091.1192385136769</v>
      </c>
      <c r="J11" s="371">
        <f>'GPI Summary'!I9/J$34*1000000000</f>
        <v>1492.9826772349293</v>
      </c>
      <c r="K11" s="371">
        <f>'GPI Summary'!J9/K$34*1000000000</f>
        <v>1689.831433379296</v>
      </c>
      <c r="L11" s="371">
        <f>'GPI Summary'!K9/L$34*1000000000</f>
        <v>1179.169989492422</v>
      </c>
      <c r="M11" s="371">
        <f>'GPI Summary'!L9/M$34*1000000000</f>
        <v>1360.7507047343445</v>
      </c>
      <c r="N11" s="371">
        <f>'GPI Summary'!M9/N$34*1000000000</f>
        <v>1376.7546700952162</v>
      </c>
      <c r="O11" s="371">
        <f>'GPI Summary'!N9/O$34*1000000000</f>
        <v>1253.1391740610218</v>
      </c>
      <c r="P11" s="371">
        <f>'GPI Summary'!O9/P$34*1000000000</f>
        <v>1171.6638398599384</v>
      </c>
      <c r="Q11" s="371">
        <f>'GPI Summary'!P9/Q$34*1000000000</f>
        <v>1580.5904618098068</v>
      </c>
      <c r="R11" s="371">
        <f>'GPI Summary'!Q9/R$34*1000000000</f>
        <v>1184.4691947374235</v>
      </c>
      <c r="S11" s="371">
        <f>'GPI Summary'!R9/S$34*1000000000</f>
        <v>931.64913862966205</v>
      </c>
      <c r="T11" s="371">
        <f>'GPI Summary'!S9/T$34*1000000000</f>
        <v>986.78470012967568</v>
      </c>
      <c r="U11" s="371">
        <f>'GPI Summary'!T9/U$34*1000000000</f>
        <v>1119.2906910310828</v>
      </c>
      <c r="V11" s="371">
        <f>'GPI Summary'!U9/V$34*1000000000</f>
        <v>916.8096235210968</v>
      </c>
      <c r="W11" s="371">
        <f>'GPI Summary'!V9/W$34*1000000000</f>
        <v>1258.3651720581865</v>
      </c>
      <c r="X11" s="371">
        <f>'GPI Summary'!W9/X$34*1000000000</f>
        <v>1353.6448586233084</v>
      </c>
      <c r="Y11" s="371">
        <f>'GPI Summary'!X9/Y$34*1000000000</f>
        <v>1604.0126558924885</v>
      </c>
      <c r="Z11" s="371">
        <f>'GPI Summary'!Y9/Z$34*1000000000</f>
        <v>1520.5145200134625</v>
      </c>
      <c r="AA11" s="371">
        <f>'GPI Summary'!Z9/AA$34*1000000000</f>
        <v>1280.6086884910858</v>
      </c>
      <c r="AB11" s="371">
        <f>'GPI Summary'!AA9/AB$34*1000000000</f>
        <v>994.71188199613175</v>
      </c>
      <c r="AC11" s="371">
        <f>'GPI Summary'!AB9/AC$34*1000000000</f>
        <v>1143.6121071383959</v>
      </c>
      <c r="AD11" s="371">
        <f>'GPI Summary'!AC9/AD$34*1000000000</f>
        <v>1102.3847523860211</v>
      </c>
      <c r="AE11" s="371">
        <f>'GPI Summary'!AD9/AE$34*1000000000</f>
        <v>741.9672221123991</v>
      </c>
      <c r="AF11" s="371">
        <f>'GPI Summary'!AE9/AF$34*1000000000</f>
        <v>1900.0447243999138</v>
      </c>
      <c r="AG11" s="371">
        <f>'GPI Summary'!AF9/AG$34*1000000000</f>
        <v>1118.5318275636089</v>
      </c>
      <c r="AH11" s="371">
        <f>'GPI Summary'!AG9/AH$34*1000000000</f>
        <v>1653.7985942546356</v>
      </c>
      <c r="AI11" s="371">
        <f>'GPI Summary'!AH9/AI$34*1000000000</f>
        <v>1041.0902324070194</v>
      </c>
      <c r="AJ11" s="371">
        <f>'GPI Summary'!AI9/AJ$34*1000000000</f>
        <v>1443.3343863474072</v>
      </c>
      <c r="AK11" s="371">
        <f>'GPI Summary'!AJ9/AK$34*1000000000</f>
        <v>1392.4357680075905</v>
      </c>
      <c r="AL11" s="371">
        <f>'GPI Summary'!AK9/AL$34*1000000000</f>
        <v>562.99771241376084</v>
      </c>
      <c r="AM11" s="371">
        <f>'GPI Summary'!AL9/AM$34*1000000000</f>
        <v>1197.8377411166089</v>
      </c>
      <c r="AN11" s="371">
        <f>'GPI Summary'!AM9/AN$34*1000000000</f>
        <v>749.58463550119291</v>
      </c>
      <c r="AO11" s="371">
        <f>'GPI Summary'!AN9/AO$34*1000000000</f>
        <v>1539.7979967369333</v>
      </c>
      <c r="AP11" s="371">
        <f>'GPI Summary'!AO9/AP$34*1000000000</f>
        <v>1201.1168188353467</v>
      </c>
      <c r="AQ11" s="371">
        <f>'GPI Summary'!AP9/AQ$34*1000000000</f>
        <v>1843.5519866060572</v>
      </c>
      <c r="AR11" s="371">
        <f>'GPI Summary'!AQ9/AR$34*1000000000</f>
        <v>1278.4473599545076</v>
      </c>
      <c r="AS11" s="371">
        <f>'GPI Summary'!AR9/AS$34*1000000000</f>
        <v>693.22294247397031</v>
      </c>
      <c r="AT11" s="371">
        <f>'GPI Summary'!AS9/AT$34*1000000000</f>
        <v>1154.5650739225289</v>
      </c>
      <c r="AU11" s="371">
        <f>'GPI Summary'!AT9/AU$34*1000000000</f>
        <v>1148.8639829273516</v>
      </c>
      <c r="AV11" s="371">
        <f>'GPI Summary'!AU9/AV$34*1000000000</f>
        <v>1022.986758833563</v>
      </c>
      <c r="AW11" s="371">
        <f>'GPI Summary'!AV9/AW$34*1000000000</f>
        <v>1116.1961062908288</v>
      </c>
      <c r="AX11" s="371">
        <f>'GPI Summary'!AW9/AX$34*1000000000</f>
        <v>1169.6766949218249</v>
      </c>
      <c r="AY11" s="371">
        <f>'GPI Summary'!AX9/AY$34*1000000000</f>
        <v>1779.51240439461</v>
      </c>
      <c r="AZ11" s="371">
        <f>'GPI Summary'!AY9/AZ$34*1000000000</f>
        <v>842.42724627031191</v>
      </c>
      <c r="BA11" s="371">
        <f>'GPI Summary'!AZ9/BA$34*1000000000</f>
        <v>1234.9118521064102</v>
      </c>
      <c r="BB11" s="371">
        <f>'GPI Summary'!BA9/BB$34*1000000000</f>
        <v>940.58481586472203</v>
      </c>
    </row>
    <row r="12" spans="1:56" x14ac:dyDescent="0.2">
      <c r="A12" s="7">
        <v>7</v>
      </c>
      <c r="B12" s="7" t="s">
        <v>108</v>
      </c>
      <c r="C12" s="385" t="s">
        <v>1017</v>
      </c>
      <c r="D12" s="371">
        <f>'GPI Summary'!C10/D$34*1000000000</f>
        <v>828.37893484335336</v>
      </c>
      <c r="E12" s="371">
        <f>'GPI Summary'!D10/E$34*1000000000</f>
        <v>828.37893484335336</v>
      </c>
      <c r="F12" s="371">
        <f>'GPI Summary'!E10/F$34*1000000000</f>
        <v>828.37893484335336</v>
      </c>
      <c r="G12" s="371">
        <f>'GPI Summary'!F10/G$34*1000000000</f>
        <v>828.37893484335325</v>
      </c>
      <c r="H12" s="371">
        <f>'GPI Summary'!G10/H$34*1000000000</f>
        <v>828.37893484335336</v>
      </c>
      <c r="I12" s="371">
        <f>'GPI Summary'!H10/I$34*1000000000</f>
        <v>828.37893484335336</v>
      </c>
      <c r="J12" s="371">
        <f>'GPI Summary'!I10/J$34*1000000000</f>
        <v>828.37893484335336</v>
      </c>
      <c r="K12" s="371">
        <f>'GPI Summary'!J10/K$34*1000000000</f>
        <v>828.37893484335348</v>
      </c>
      <c r="L12" s="371">
        <f>'GPI Summary'!K10/L$34*1000000000</f>
        <v>828.37893484335336</v>
      </c>
      <c r="M12" s="371">
        <f>'GPI Summary'!L10/M$34*1000000000</f>
        <v>828.37893484335325</v>
      </c>
      <c r="N12" s="371">
        <f>'GPI Summary'!M10/N$34*1000000000</f>
        <v>828.37893484335336</v>
      </c>
      <c r="O12" s="371">
        <f>'GPI Summary'!N10/O$34*1000000000</f>
        <v>828.37893484335325</v>
      </c>
      <c r="P12" s="371">
        <f>'GPI Summary'!O10/P$34*1000000000</f>
        <v>828.37893484335325</v>
      </c>
      <c r="Q12" s="371">
        <f>'GPI Summary'!P10/Q$34*1000000000</f>
        <v>828.37893484335336</v>
      </c>
      <c r="R12" s="371">
        <f>'GPI Summary'!Q10/R$34*1000000000</f>
        <v>828.37893484335336</v>
      </c>
      <c r="S12" s="371">
        <f>'GPI Summary'!R10/S$34*1000000000</f>
        <v>828.37893484335325</v>
      </c>
      <c r="T12" s="371">
        <f>'GPI Summary'!S10/T$34*1000000000</f>
        <v>828.37893484335336</v>
      </c>
      <c r="U12" s="371">
        <f>'GPI Summary'!T10/U$34*1000000000</f>
        <v>828.37893484335336</v>
      </c>
      <c r="V12" s="371">
        <f>'GPI Summary'!U10/V$34*1000000000</f>
        <v>828.37893484335336</v>
      </c>
      <c r="W12" s="371">
        <f>'GPI Summary'!V10/W$34*1000000000</f>
        <v>828.37893484335336</v>
      </c>
      <c r="X12" s="371">
        <f>'GPI Summary'!W10/X$34*1000000000</f>
        <v>828.37893484335325</v>
      </c>
      <c r="Y12" s="371">
        <f>'GPI Summary'!X10/Y$34*1000000000</f>
        <v>828.37893484335336</v>
      </c>
      <c r="Z12" s="371">
        <f>'GPI Summary'!Y10/Z$34*1000000000</f>
        <v>828.37893484335348</v>
      </c>
      <c r="AA12" s="371">
        <f>'GPI Summary'!Z10/AA$34*1000000000</f>
        <v>828.37893484335325</v>
      </c>
      <c r="AB12" s="371">
        <f>'GPI Summary'!AA10/AB$34*1000000000</f>
        <v>828.37893484335336</v>
      </c>
      <c r="AC12" s="371">
        <f>'GPI Summary'!AB10/AC$34*1000000000</f>
        <v>828.37893484335336</v>
      </c>
      <c r="AD12" s="371">
        <f>'GPI Summary'!AC10/AD$34*1000000000</f>
        <v>828.37893484335325</v>
      </c>
      <c r="AE12" s="371">
        <f>'GPI Summary'!AD10/AE$34*1000000000</f>
        <v>828.37893484335336</v>
      </c>
      <c r="AF12" s="371">
        <f>'GPI Summary'!AE10/AF$34*1000000000</f>
        <v>828.37893484335325</v>
      </c>
      <c r="AG12" s="371">
        <f>'GPI Summary'!AF10/AG$34*1000000000</f>
        <v>828.37893484335336</v>
      </c>
      <c r="AH12" s="371">
        <f>'GPI Summary'!AG10/AH$34*1000000000</f>
        <v>828.37893484335325</v>
      </c>
      <c r="AI12" s="371">
        <f>'GPI Summary'!AH10/AI$34*1000000000</f>
        <v>828.37893484335336</v>
      </c>
      <c r="AJ12" s="371">
        <f>'GPI Summary'!AI10/AJ$34*1000000000</f>
        <v>828.37893484335336</v>
      </c>
      <c r="AK12" s="371">
        <f>'GPI Summary'!AJ10/AK$34*1000000000</f>
        <v>828.37893484335336</v>
      </c>
      <c r="AL12" s="371">
        <f>'GPI Summary'!AK10/AL$34*1000000000</f>
        <v>828.37893484335336</v>
      </c>
      <c r="AM12" s="371">
        <f>'GPI Summary'!AL10/AM$34*1000000000</f>
        <v>828.37893484335336</v>
      </c>
      <c r="AN12" s="371">
        <f>'GPI Summary'!AM10/AN$34*1000000000</f>
        <v>828.37893484335325</v>
      </c>
      <c r="AO12" s="371">
        <f>'GPI Summary'!AN10/AO$34*1000000000</f>
        <v>828.37893484335336</v>
      </c>
      <c r="AP12" s="371">
        <f>'GPI Summary'!AO10/AP$34*1000000000</f>
        <v>828.37893484335336</v>
      </c>
      <c r="AQ12" s="371">
        <f>'GPI Summary'!AP10/AQ$34*1000000000</f>
        <v>828.37893484335325</v>
      </c>
      <c r="AR12" s="371">
        <f>'GPI Summary'!AQ10/AR$34*1000000000</f>
        <v>828.37893484335336</v>
      </c>
      <c r="AS12" s="371">
        <f>'GPI Summary'!AR10/AS$34*1000000000</f>
        <v>828.37893484335336</v>
      </c>
      <c r="AT12" s="371">
        <f>'GPI Summary'!AS10/AT$34*1000000000</f>
        <v>828.37893484335325</v>
      </c>
      <c r="AU12" s="371">
        <f>'GPI Summary'!AT10/AU$34*1000000000</f>
        <v>828.37893484335314</v>
      </c>
      <c r="AV12" s="371">
        <f>'GPI Summary'!AU10/AV$34*1000000000</f>
        <v>828.37893484335336</v>
      </c>
      <c r="AW12" s="371">
        <f>'GPI Summary'!AV10/AW$34*1000000000</f>
        <v>828.37893484335336</v>
      </c>
      <c r="AX12" s="371">
        <f>'GPI Summary'!AW10/AX$34*1000000000</f>
        <v>828.37893484335325</v>
      </c>
      <c r="AY12" s="371">
        <f>'GPI Summary'!AX10/AY$34*1000000000</f>
        <v>828.37893484335325</v>
      </c>
      <c r="AZ12" s="371">
        <f>'GPI Summary'!AY10/AZ$34*1000000000</f>
        <v>828.37893484335336</v>
      </c>
      <c r="BA12" s="371">
        <f>'GPI Summary'!AZ10/BA$34*1000000000</f>
        <v>828.37893484335336</v>
      </c>
      <c r="BB12" s="371">
        <f>'GPI Summary'!BA10/BB$34*1000000000</f>
        <v>828.37893484335336</v>
      </c>
    </row>
    <row r="13" spans="1:56" x14ac:dyDescent="0.2">
      <c r="A13" s="7">
        <v>8</v>
      </c>
      <c r="B13" s="7" t="s">
        <v>109</v>
      </c>
      <c r="C13" s="385" t="s">
        <v>1017</v>
      </c>
      <c r="D13" s="371">
        <f>'GPI Summary'!C11/D$34*1000000000</f>
        <v>143.12183516903099</v>
      </c>
      <c r="E13" s="371">
        <f>'GPI Summary'!D11/E$34*1000000000</f>
        <v>59.169837835157779</v>
      </c>
      <c r="F13" s="371">
        <f>'GPI Summary'!E11/F$34*1000000000</f>
        <v>129.451487722384</v>
      </c>
      <c r="G13" s="371">
        <f>'GPI Summary'!F11/G$34*1000000000</f>
        <v>75.081227105278671</v>
      </c>
      <c r="H13" s="371">
        <f>'GPI Summary'!G11/H$34*1000000000</f>
        <v>109.15236808339553</v>
      </c>
      <c r="I13" s="371">
        <f>'GPI Summary'!H11/I$34*1000000000</f>
        <v>208.43764295833293</v>
      </c>
      <c r="J13" s="371">
        <f>'GPI Summary'!I11/J$34*1000000000</f>
        <v>75.279264779693634</v>
      </c>
      <c r="K13" s="371">
        <f>'GPI Summary'!J11/K$34*1000000000</f>
        <v>68.593300860561811</v>
      </c>
      <c r="L13" s="371">
        <f>'GPI Summary'!K11/L$34*1000000000</f>
        <v>218.68044612261895</v>
      </c>
      <c r="M13" s="371">
        <f>'GPI Summary'!L11/M$34*1000000000</f>
        <v>189.65537351137814</v>
      </c>
      <c r="N13" s="371">
        <f>'GPI Summary'!M11/N$34*1000000000</f>
        <v>97.881878197022544</v>
      </c>
      <c r="O13" s="371">
        <f>'GPI Summary'!N11/O$34*1000000000</f>
        <v>222.46</v>
      </c>
      <c r="P13" s="371">
        <f>'GPI Summary'!O11/P$34*1000000000</f>
        <v>163.61382070592853</v>
      </c>
      <c r="Q13" s="371">
        <f>'GPI Summary'!P11/Q$34*1000000000</f>
        <v>171.2320080145341</v>
      </c>
      <c r="R13" s="371">
        <f>'GPI Summary'!Q11/R$34*1000000000</f>
        <v>183.14021169767221</v>
      </c>
      <c r="S13" s="371">
        <f>'GPI Summary'!R11/S$34*1000000000</f>
        <v>182.75340660317804</v>
      </c>
      <c r="T13" s="371">
        <f>'GPI Summary'!S11/T$34*1000000000</f>
        <v>206.48646854144525</v>
      </c>
      <c r="U13" s="371">
        <f>'GPI Summary'!T11/U$34*1000000000</f>
        <v>116.21049173574278</v>
      </c>
      <c r="V13" s="371">
        <f>'GPI Summary'!U11/V$34*1000000000</f>
        <v>185.81357198532783</v>
      </c>
      <c r="W13" s="371">
        <f>'GPI Summary'!V11/W$34*1000000000</f>
        <v>13.78039800683449</v>
      </c>
      <c r="X13" s="371">
        <f>'GPI Summary'!W11/X$34*1000000000</f>
        <v>149.7237456648744</v>
      </c>
      <c r="Y13" s="371">
        <f>'GPI Summary'!X11/Y$34*1000000000</f>
        <v>179.45106394974002</v>
      </c>
      <c r="Z13" s="371">
        <f>'GPI Summary'!Y11/Z$34*1000000000</f>
        <v>117.85681067891267</v>
      </c>
      <c r="AA13" s="371">
        <f>'GPI Summary'!Z11/AA$34*1000000000</f>
        <v>194.54137106483989</v>
      </c>
      <c r="AB13" s="371">
        <f>'GPI Summary'!AA11/AB$34*1000000000</f>
        <v>174.23743343540767</v>
      </c>
      <c r="AC13" s="371">
        <f>'GPI Summary'!AB11/AC$34*1000000000</f>
        <v>89.409247024927538</v>
      </c>
      <c r="AD13" s="371">
        <f>'GPI Summary'!AC11/AD$34*1000000000</f>
        <v>191.02702650290715</v>
      </c>
      <c r="AE13" s="371">
        <f>'GPI Summary'!AD11/AE$34*1000000000</f>
        <v>162.33602730327331</v>
      </c>
      <c r="AF13" s="371">
        <f>'GPI Summary'!AE11/AF$34*1000000000</f>
        <v>161.54087248675486</v>
      </c>
      <c r="AG13" s="371">
        <f>'GPI Summary'!AF11/AG$34*1000000000</f>
        <v>222.46</v>
      </c>
      <c r="AH13" s="371">
        <f>'GPI Summary'!AG11/AH$34*1000000000</f>
        <v>205.50095479054374</v>
      </c>
      <c r="AI13" s="371">
        <f>'GPI Summary'!AH11/AI$34*1000000000</f>
        <v>163.45432979536312</v>
      </c>
      <c r="AJ13" s="371">
        <f>'GPI Summary'!AI11/AJ$34*1000000000</f>
        <v>93.093837073316621</v>
      </c>
      <c r="AK13" s="371">
        <f>'GPI Summary'!AJ11/AK$34*1000000000</f>
        <v>110.99595693057641</v>
      </c>
      <c r="AL13" s="371">
        <f>'GPI Summary'!AK11/AL$34*1000000000</f>
        <v>86.433577072458732</v>
      </c>
      <c r="AM13" s="371">
        <f>'GPI Summary'!AL11/AM$34*1000000000</f>
        <v>218.62745879847097</v>
      </c>
      <c r="AN13" s="371">
        <f>'GPI Summary'!AM11/AN$34*1000000000</f>
        <v>197.3640265635222</v>
      </c>
      <c r="AO13" s="371">
        <f>'GPI Summary'!AN11/AO$34*1000000000</f>
        <v>182.62618551291416</v>
      </c>
      <c r="AP13" s="371">
        <f>'GPI Summary'!AO11/AP$34*1000000000</f>
        <v>40.794464287034224</v>
      </c>
      <c r="AQ13" s="371">
        <f>'GPI Summary'!AP11/AQ$34*1000000000</f>
        <v>106.2213100234044</v>
      </c>
      <c r="AR13" s="371">
        <f>'GPI Summary'!AQ11/AR$34*1000000000</f>
        <v>102.37116454817426</v>
      </c>
      <c r="AS13" s="371">
        <f>'GPI Summary'!AR11/AS$34*1000000000</f>
        <v>99.094625442016124</v>
      </c>
      <c r="AT13" s="371">
        <f>'GPI Summary'!AS11/AT$34*1000000000</f>
        <v>82.649580081062524</v>
      </c>
      <c r="AU13" s="371">
        <f>'GPI Summary'!AT11/AU$34*1000000000</f>
        <v>91.504100034656929</v>
      </c>
      <c r="AV13" s="371">
        <f>'GPI Summary'!AU11/AV$34*1000000000</f>
        <v>74.035310525352088</v>
      </c>
      <c r="AW13" s="371">
        <f>'GPI Summary'!AV11/AW$34*1000000000</f>
        <v>103.82391777244352</v>
      </c>
      <c r="AX13" s="371">
        <f>'GPI Summary'!AW11/AX$34*1000000000</f>
        <v>171.33489543050999</v>
      </c>
      <c r="AY13" s="371">
        <f>'GPI Summary'!AX11/AY$34*1000000000</f>
        <v>164.41515641961433</v>
      </c>
      <c r="AZ13" s="371">
        <f>'GPI Summary'!AY11/AZ$34*1000000000</f>
        <v>124.93407838888869</v>
      </c>
      <c r="BA13" s="371">
        <f>'GPI Summary'!AZ11/BA$34*1000000000</f>
        <v>147.23709772436357</v>
      </c>
      <c r="BB13" s="371">
        <f>'GPI Summary'!BA11/BB$34*1000000000</f>
        <v>46.116603606498927</v>
      </c>
      <c r="BC13" s="9"/>
      <c r="BD13" s="7"/>
    </row>
    <row r="14" spans="1:56" x14ac:dyDescent="0.2">
      <c r="A14" s="7">
        <v>9</v>
      </c>
      <c r="B14" s="7" t="s">
        <v>115</v>
      </c>
      <c r="C14" s="385" t="s">
        <v>1017</v>
      </c>
      <c r="D14" s="371">
        <f>'GPI Summary'!C12/D$34*1000000000</f>
        <v>47.524076592075296</v>
      </c>
      <c r="E14" s="371">
        <f>'GPI Summary'!D12/E$34*1000000000</f>
        <v>30.01633133555703</v>
      </c>
      <c r="F14" s="371">
        <f>'GPI Summary'!E12/F$34*1000000000</f>
        <v>0</v>
      </c>
      <c r="G14" s="371">
        <f>'GPI Summary'!F12/G$34*1000000000</f>
        <v>34.588868192570267</v>
      </c>
      <c r="H14" s="371">
        <f>'GPI Summary'!G12/H$34*1000000000</f>
        <v>33.275879290438155</v>
      </c>
      <c r="I14" s="371">
        <f>'GPI Summary'!H12/I$34*1000000000</f>
        <v>149.11069131448394</v>
      </c>
      <c r="J14" s="371">
        <f>'GPI Summary'!I12/J$34*1000000000</f>
        <v>56.550710138597196</v>
      </c>
      <c r="K14" s="371">
        <f>'GPI Summary'!J12/K$34*1000000000</f>
        <v>14.653672593492368</v>
      </c>
      <c r="L14" s="371">
        <f>'GPI Summary'!K12/L$34*1000000000</f>
        <v>14.963458271482464</v>
      </c>
      <c r="M14" s="371">
        <f>'GPI Summary'!L12/M$34*1000000000</f>
        <v>20.49538657964645</v>
      </c>
      <c r="N14" s="371">
        <f>'GPI Summary'!M12/N$34*1000000000</f>
        <v>54.048470209544057</v>
      </c>
      <c r="O14" s="371">
        <f>'GPI Summary'!N12/O$34*1000000000</f>
        <v>0</v>
      </c>
      <c r="P14" s="371">
        <f>'GPI Summary'!O12/P$34*1000000000</f>
        <v>0</v>
      </c>
      <c r="Q14" s="371">
        <f>'GPI Summary'!P12/Q$34*1000000000</f>
        <v>31.23430342739729</v>
      </c>
      <c r="R14" s="371">
        <f>'GPI Summary'!Q12/R$34*1000000000</f>
        <v>25.880402773667413</v>
      </c>
      <c r="S14" s="371">
        <f>'GPI Summary'!R12/S$34*1000000000</f>
        <v>0</v>
      </c>
      <c r="T14" s="371">
        <f>'GPI Summary'!S12/T$34*1000000000</f>
        <v>41.401208711018931</v>
      </c>
      <c r="U14" s="371">
        <f>'GPI Summary'!T12/U$34*1000000000</f>
        <v>34.613507282524942</v>
      </c>
      <c r="V14" s="371">
        <f>'GPI Summary'!U12/V$34*1000000000</f>
        <v>44.629795191115086</v>
      </c>
      <c r="W14" s="371">
        <f>'GPI Summary'!V12/W$34*1000000000</f>
        <v>4.2225154369487514</v>
      </c>
      <c r="X14" s="371">
        <f>'GPI Summary'!W12/X$34*1000000000</f>
        <v>30.71451089600647</v>
      </c>
      <c r="Y14" s="371">
        <f>'GPI Summary'!X12/Y$34*1000000000</f>
        <v>10.443326706214197</v>
      </c>
      <c r="Z14" s="371">
        <f>'GPI Summary'!Y12/Z$34*1000000000</f>
        <v>22.722178353227655</v>
      </c>
      <c r="AA14" s="371">
        <f>'GPI Summary'!Z12/AA$34*1000000000</f>
        <v>1.3958375643551804</v>
      </c>
      <c r="AB14" s="371">
        <f>'GPI Summary'!AA12/AB$34*1000000000</f>
        <v>12.620622636099203</v>
      </c>
      <c r="AC14" s="371">
        <f>'GPI Summary'!AB12/AC$34*1000000000</f>
        <v>53.329674701690664</v>
      </c>
      <c r="AD14" s="371">
        <f>'GPI Summary'!AC12/AD$34*1000000000</f>
        <v>0</v>
      </c>
      <c r="AE14" s="371">
        <f>'GPI Summary'!AD12/AE$34*1000000000</f>
        <v>0</v>
      </c>
      <c r="AF14" s="371">
        <f>'GPI Summary'!AE12/AF$34*1000000000</f>
        <v>31.181677326420949</v>
      </c>
      <c r="AG14" s="371">
        <f>'GPI Summary'!AF12/AG$34*1000000000</f>
        <v>2.2752890328583972</v>
      </c>
      <c r="AH14" s="371">
        <f>'GPI Summary'!AG12/AH$34*1000000000</f>
        <v>21.816588555015702</v>
      </c>
      <c r="AI14" s="371">
        <f>'GPI Summary'!AH12/AI$34*1000000000</f>
        <v>22.536116385059096</v>
      </c>
      <c r="AJ14" s="371">
        <f>'GPI Summary'!AI12/AJ$34*1000000000</f>
        <v>23.602815994037353</v>
      </c>
      <c r="AK14" s="371">
        <f>'GPI Summary'!AJ12/AK$34*1000000000</f>
        <v>29.27174952413047</v>
      </c>
      <c r="AL14" s="371">
        <f>'GPI Summary'!AK12/AL$34*1000000000</f>
        <v>0</v>
      </c>
      <c r="AM14" s="371">
        <f>'GPI Summary'!AL12/AM$34*1000000000</f>
        <v>34.516599898664239</v>
      </c>
      <c r="AN14" s="371">
        <f>'GPI Summary'!AM12/AN$34*1000000000</f>
        <v>83.471137726053001</v>
      </c>
      <c r="AO14" s="371">
        <f>'GPI Summary'!AN12/AO$34*1000000000</f>
        <v>1.4567735545498721</v>
      </c>
      <c r="AP14" s="371">
        <f>'GPI Summary'!AO12/AP$34*1000000000</f>
        <v>30.660879772204201</v>
      </c>
      <c r="AQ14" s="371">
        <f>'GPI Summary'!AP12/AQ$34*1000000000</f>
        <v>6.2451273633129603</v>
      </c>
      <c r="AR14" s="371">
        <f>'GPI Summary'!AQ12/AR$34*1000000000</f>
        <v>15.037444139982604</v>
      </c>
      <c r="AS14" s="371">
        <f>'GPI Summary'!AR12/AS$34*1000000000</f>
        <v>0</v>
      </c>
      <c r="AT14" s="371">
        <f>'GPI Summary'!AS12/AT$34*1000000000</f>
        <v>35.349694234945041</v>
      </c>
      <c r="AU14" s="371">
        <f>'GPI Summary'!AT12/AU$34*1000000000</f>
        <v>102.01373453708148</v>
      </c>
      <c r="AV14" s="371">
        <f>'GPI Summary'!AU12/AV$34*1000000000</f>
        <v>43.737179605077181</v>
      </c>
      <c r="AW14" s="371">
        <f>'GPI Summary'!AV12/AW$34*1000000000</f>
        <v>1.3173083556951182</v>
      </c>
      <c r="AX14" s="371">
        <f>'GPI Summary'!AW12/AX$34*1000000000</f>
        <v>21.51726914495967</v>
      </c>
      <c r="AY14" s="371">
        <f>'GPI Summary'!AX12/AY$34*1000000000</f>
        <v>0</v>
      </c>
      <c r="AZ14" s="371">
        <f>'GPI Summary'!AY12/AZ$34*1000000000</f>
        <v>9.0988218715100242</v>
      </c>
      <c r="BA14" s="371">
        <f>'GPI Summary'!AZ12/BA$34*1000000000</f>
        <v>13.766740515110046</v>
      </c>
      <c r="BB14" s="371">
        <f>'GPI Summary'!BA12/BB$34*1000000000</f>
        <v>63.4986261661142</v>
      </c>
    </row>
    <row r="15" spans="1:56" x14ac:dyDescent="0.2">
      <c r="A15" s="7">
        <v>10</v>
      </c>
      <c r="B15" s="7" t="s">
        <v>116</v>
      </c>
      <c r="C15" s="385" t="s">
        <v>1017</v>
      </c>
      <c r="D15" s="371">
        <f>'GPI Summary'!C13/D$34*1000000000</f>
        <v>101.49547525548074</v>
      </c>
      <c r="E15" s="371">
        <f>'GPI Summary'!D13/E$34*1000000000</f>
        <v>74.563157135188533</v>
      </c>
      <c r="F15" s="371">
        <f>'GPI Summary'!E13/F$34*1000000000</f>
        <v>82.222655184976134</v>
      </c>
      <c r="G15" s="371">
        <f>'GPI Summary'!F13/G$34*1000000000</f>
        <v>112.67045862699922</v>
      </c>
      <c r="H15" s="371">
        <f>'GPI Summary'!G13/H$34*1000000000</f>
        <v>70.735825263997413</v>
      </c>
      <c r="I15" s="371">
        <f>'GPI Summary'!H13/I$34*1000000000</f>
        <v>119.15038160765639</v>
      </c>
      <c r="J15" s="371">
        <f>'GPI Summary'!I13/J$34*1000000000</f>
        <v>107.49317437711218</v>
      </c>
      <c r="K15" s="371">
        <f>'GPI Summary'!J13/K$34*1000000000</f>
        <v>111.2981269491903</v>
      </c>
      <c r="L15" s="371">
        <f>'GPI Summary'!K13/L$34*1000000000</f>
        <v>104.54251452823323</v>
      </c>
      <c r="M15" s="371">
        <f>'GPI Summary'!L13/M$34*1000000000</f>
        <v>114.011677785592</v>
      </c>
      <c r="N15" s="371">
        <f>'GPI Summary'!M13/N$34*1000000000</f>
        <v>94.071336677415246</v>
      </c>
      <c r="O15" s="371">
        <f>'GPI Summary'!N13/O$34*1000000000</f>
        <v>115.17608985495825</v>
      </c>
      <c r="P15" s="371">
        <f>'GPI Summary'!O13/P$34*1000000000</f>
        <v>88.672251286911532</v>
      </c>
      <c r="Q15" s="371">
        <f>'GPI Summary'!P13/Q$34*1000000000</f>
        <v>112.06539460143074</v>
      </c>
      <c r="R15" s="371">
        <f>'GPI Summary'!Q13/R$34*1000000000</f>
        <v>91.495035510706188</v>
      </c>
      <c r="S15" s="371">
        <f>'GPI Summary'!R13/S$34*1000000000</f>
        <v>80.790712723062356</v>
      </c>
      <c r="T15" s="371">
        <f>'GPI Summary'!S13/T$34*1000000000</f>
        <v>93.614879034217552</v>
      </c>
      <c r="U15" s="371">
        <f>'GPI Summary'!T13/U$34*1000000000</f>
        <v>73.637939384177685</v>
      </c>
      <c r="V15" s="371">
        <f>'GPI Summary'!U13/V$34*1000000000</f>
        <v>92.056466080987832</v>
      </c>
      <c r="W15" s="371">
        <f>'GPI Summary'!V13/W$34*1000000000</f>
        <v>49.065062017456391</v>
      </c>
      <c r="X15" s="371">
        <f>'GPI Summary'!W13/X$34*1000000000</f>
        <v>109.42916245042325</v>
      </c>
      <c r="Y15" s="371">
        <f>'GPI Summary'!X13/Y$34*1000000000</f>
        <v>115.69318579648741</v>
      </c>
      <c r="Z15" s="371">
        <f>'GPI Summary'!Y13/Z$34*1000000000</f>
        <v>94.71548266319391</v>
      </c>
      <c r="AA15" s="371">
        <f>'GPI Summary'!Z13/AA$34*1000000000</f>
        <v>92.251919078923379</v>
      </c>
      <c r="AB15" s="371">
        <f>'GPI Summary'!AA13/AB$34*1000000000</f>
        <v>62.421521360255063</v>
      </c>
      <c r="AC15" s="371">
        <f>'GPI Summary'!AB13/AC$34*1000000000</f>
        <v>89.107867709724559</v>
      </c>
      <c r="AD15" s="371">
        <f>'GPI Summary'!AC13/AD$34*1000000000</f>
        <v>70.359516290435366</v>
      </c>
      <c r="AE15" s="371">
        <f>'GPI Summary'!AD13/AE$34*1000000000</f>
        <v>92.030526579619078</v>
      </c>
      <c r="AF15" s="371">
        <f>'GPI Summary'!AE13/AF$34*1000000000</f>
        <v>118.70838661902482</v>
      </c>
      <c r="AG15" s="371">
        <f>'GPI Summary'!AF13/AG$34*1000000000</f>
        <v>76.466462769514251</v>
      </c>
      <c r="AH15" s="371">
        <f>'GPI Summary'!AG13/AH$34*1000000000</f>
        <v>119.59570313413708</v>
      </c>
      <c r="AI15" s="371">
        <f>'GPI Summary'!AH13/AI$34*1000000000</f>
        <v>97.358215466667914</v>
      </c>
      <c r="AJ15" s="371">
        <f>'GPI Summary'!AI13/AJ$34*1000000000</f>
        <v>110.83273368311976</v>
      </c>
      <c r="AK15" s="371">
        <f>'GPI Summary'!AJ13/AK$34*1000000000</f>
        <v>82.88137727604115</v>
      </c>
      <c r="AL15" s="371">
        <f>'GPI Summary'!AK13/AL$34*1000000000</f>
        <v>74.681616951105354</v>
      </c>
      <c r="AM15" s="371">
        <f>'GPI Summary'!AL13/AM$34*1000000000</f>
        <v>98.872048203144487</v>
      </c>
      <c r="AN15" s="371">
        <f>'GPI Summary'!AM13/AN$34*1000000000</f>
        <v>83.355440818564716</v>
      </c>
      <c r="AO15" s="371">
        <f>'GPI Summary'!AN13/AO$34*1000000000</f>
        <v>101.86741989995093</v>
      </c>
      <c r="AP15" s="371">
        <f>'GPI Summary'!AO13/AP$34*1000000000</f>
        <v>99.515280142831017</v>
      </c>
      <c r="AQ15" s="371">
        <f>'GPI Summary'!AP13/AQ$34*1000000000</f>
        <v>115.38220671620392</v>
      </c>
      <c r="AR15" s="371">
        <f>'GPI Summary'!AQ13/AR$34*1000000000</f>
        <v>83.324462657973243</v>
      </c>
      <c r="AS15" s="371">
        <f>'GPI Summary'!AR13/AS$34*1000000000</f>
        <v>71.087498826671961</v>
      </c>
      <c r="AT15" s="371">
        <f>'GPI Summary'!AS13/AT$34*1000000000</f>
        <v>83.564827408642714</v>
      </c>
      <c r="AU15" s="371">
        <f>'GPI Summary'!AT13/AU$34*1000000000</f>
        <v>105.47103586456797</v>
      </c>
      <c r="AV15" s="371">
        <f>'GPI Summary'!AU13/AV$34*1000000000</f>
        <v>112.91685106201442</v>
      </c>
      <c r="AW15" s="371">
        <f>'GPI Summary'!AV13/AW$34*1000000000</f>
        <v>49.303901768140499</v>
      </c>
      <c r="AX15" s="371">
        <f>'GPI Summary'!AW13/AX$34*1000000000</f>
        <v>94.554075770504753</v>
      </c>
      <c r="AY15" s="371">
        <f>'GPI Summary'!AX13/AY$34*1000000000</f>
        <v>105.14098651400948</v>
      </c>
      <c r="AZ15" s="371">
        <f>'GPI Summary'!AY13/AZ$34*1000000000</f>
        <v>61.779773676965853</v>
      </c>
      <c r="BA15" s="371">
        <f>'GPI Summary'!AZ13/BA$34*1000000000</f>
        <v>88.691428773461695</v>
      </c>
      <c r="BB15" s="371">
        <f>'GPI Summary'!BA13/BB$34*1000000000</f>
        <v>81.658464599538931</v>
      </c>
    </row>
    <row r="16" spans="1:56" x14ac:dyDescent="0.2">
      <c r="A16" s="7">
        <v>11</v>
      </c>
      <c r="B16" s="7" t="s">
        <v>117</v>
      </c>
      <c r="C16" s="385" t="s">
        <v>1017</v>
      </c>
      <c r="D16" s="371">
        <f>'GPI Summary'!C14/D$34*1000000000</f>
        <v>-10.433844174601218</v>
      </c>
      <c r="E16" s="371">
        <f>'GPI Summary'!D14/E$34*1000000000</f>
        <v>604.70382371056075</v>
      </c>
      <c r="F16" s="371">
        <f>'GPI Summary'!E14/F$34*1000000000</f>
        <v>-62665.609270501496</v>
      </c>
      <c r="G16" s="371">
        <f>'GPI Summary'!F14/G$34*1000000000</f>
        <v>132.44994291142811</v>
      </c>
      <c r="H16" s="371">
        <f>'GPI Summary'!G14/H$34*1000000000</f>
        <v>605.16539776988009</v>
      </c>
      <c r="I16" s="371">
        <f>'GPI Summary'!H14/I$34*1000000000</f>
        <v>23.961696668659997</v>
      </c>
      <c r="J16" s="371">
        <f>'GPI Summary'!I14/J$34*1000000000</f>
        <v>70.581987164381928</v>
      </c>
      <c r="K16" s="371">
        <f>'GPI Summary'!J14/K$34*1000000000</f>
        <v>33.676682226493611</v>
      </c>
      <c r="L16" s="371">
        <f>'GPI Summary'!K14/L$34*1000000000</f>
        <v>95.245953675438344</v>
      </c>
      <c r="M16" s="371">
        <f>'GPI Summary'!L14/M$34*1000000000</f>
        <v>192.17163999341994</v>
      </c>
      <c r="N16" s="371">
        <f>'GPI Summary'!M14/N$34*1000000000</f>
        <v>125.39380431230983</v>
      </c>
      <c r="O16" s="371">
        <f>'GPI Summary'!N14/O$34*1000000000</f>
        <v>7.6657667877426796</v>
      </c>
      <c r="P16" s="371">
        <f>'GPI Summary'!O14/P$34*1000000000</f>
        <v>99.68168995310613</v>
      </c>
      <c r="Q16" s="371">
        <f>'GPI Summary'!P14/Q$34*1000000000</f>
        <v>115.43446844143966</v>
      </c>
      <c r="R16" s="371">
        <f>'GPI Summary'!Q14/R$34*1000000000</f>
        <v>155.36098293318648</v>
      </c>
      <c r="S16" s="371">
        <f>'GPI Summary'!R14/S$34*1000000000</f>
        <v>235.84607802481491</v>
      </c>
      <c r="T16" s="371">
        <f>'GPI Summary'!S14/T$34*1000000000</f>
        <v>52.670017552000367</v>
      </c>
      <c r="U16" s="371">
        <f>'GPI Summary'!T14/U$34*1000000000</f>
        <v>64.767958309391958</v>
      </c>
      <c r="V16" s="371">
        <f>'GPI Summary'!U14/V$34*1000000000</f>
        <v>637.87928266351526</v>
      </c>
      <c r="W16" s="371">
        <f>'GPI Summary'!V14/W$34*1000000000</f>
        <v>874.95879073367018</v>
      </c>
      <c r="X16" s="371">
        <f>'GPI Summary'!W14/X$34*1000000000</f>
        <v>50.936704221590496</v>
      </c>
      <c r="Y16" s="371">
        <f>'GPI Summary'!X14/Y$34*1000000000</f>
        <v>22.304193262228463</v>
      </c>
      <c r="Z16" s="371">
        <f>'GPI Summary'!Y14/Z$34*1000000000</f>
        <v>204.46150383022956</v>
      </c>
      <c r="AA16" s="371">
        <f>'GPI Summary'!Z14/AA$34*1000000000</f>
        <v>507.51840622830787</v>
      </c>
      <c r="AB16" s="371">
        <f>'GPI Summary'!AA14/AB$34*1000000000</f>
        <v>597.99758479630896</v>
      </c>
      <c r="AC16" s="371">
        <f>'GPI Summary'!AB14/AC$34*1000000000</f>
        <v>145.66191258827735</v>
      </c>
      <c r="AD16" s="371">
        <f>'GPI Summary'!AC14/AD$34*1000000000</f>
        <v>206.53561219763913</v>
      </c>
      <c r="AE16" s="371">
        <f>'GPI Summary'!AD14/AE$34*1000000000</f>
        <v>285.02737108380188</v>
      </c>
      <c r="AF16" s="371">
        <f>'GPI Summary'!AE14/AF$34*1000000000</f>
        <v>32.219863716856324</v>
      </c>
      <c r="AG16" s="371">
        <f>'GPI Summary'!AF14/AG$34*1000000000</f>
        <v>29.756976001333953</v>
      </c>
      <c r="AH16" s="371">
        <f>'GPI Summary'!AG14/AH$34*1000000000</f>
        <v>30.613132536363068</v>
      </c>
      <c r="AI16" s="371">
        <f>'GPI Summary'!AH14/AI$34*1000000000</f>
        <v>62.639126637232032</v>
      </c>
      <c r="AJ16" s="371">
        <f>'GPI Summary'!AI14/AJ$34*1000000000</f>
        <v>23.562085755113351</v>
      </c>
      <c r="AK16" s="371">
        <f>'GPI Summary'!AJ14/AK$34*1000000000</f>
        <v>207.32443510468974</v>
      </c>
      <c r="AL16" s="371">
        <f>'GPI Summary'!AK14/AL$34*1000000000</f>
        <v>1295.8440135044893</v>
      </c>
      <c r="AM16" s="371">
        <f>'GPI Summary'!AL14/AM$34*1000000000</f>
        <v>78.297584783697644</v>
      </c>
      <c r="AN16" s="371">
        <f>'GPI Summary'!AM14/AN$34*1000000000</f>
        <v>135.78670398013611</v>
      </c>
      <c r="AO16" s="371">
        <f>'GPI Summary'!AN14/AO$34*1000000000</f>
        <v>105.36747603236584</v>
      </c>
      <c r="AP16" s="371">
        <f>'GPI Summary'!AO14/AP$34*1000000000</f>
        <v>15.913855319559328</v>
      </c>
      <c r="AQ16" s="371">
        <f>'GPI Summary'!AP14/AQ$34*1000000000</f>
        <v>17.575764962969981</v>
      </c>
      <c r="AR16" s="371">
        <f>'GPI Summary'!AQ14/AR$34*1000000000</f>
        <v>247.38643755890578</v>
      </c>
      <c r="AS16" s="371">
        <f>'GPI Summary'!AR14/AS$34*1000000000</f>
        <v>597.69682257123998</v>
      </c>
      <c r="AT16" s="371">
        <f>'GPI Summary'!AS14/AT$34*1000000000</f>
        <v>54.647028269309367</v>
      </c>
      <c r="AU16" s="371">
        <f>'GPI Summary'!AT14/AU$34*1000000000</f>
        <v>112.68894524697025</v>
      </c>
      <c r="AV16" s="371">
        <f>'GPI Summary'!AU14/AV$34*1000000000</f>
        <v>51.102523461244957</v>
      </c>
      <c r="AW16" s="371">
        <f>'GPI Summary'!AV14/AW$34*1000000000</f>
        <v>97.403081197879999</v>
      </c>
      <c r="AX16" s="371">
        <f>'GPI Summary'!AW14/AX$34*1000000000</f>
        <v>41.054855828952896</v>
      </c>
      <c r="AY16" s="371">
        <f>'GPI Summary'!AX14/AY$34*1000000000</f>
        <v>35.625917220601529</v>
      </c>
      <c r="AZ16" s="371">
        <f>'GPI Summary'!AY14/AZ$34*1000000000</f>
        <v>13.010018760703588</v>
      </c>
      <c r="BA16" s="371">
        <f>'GPI Summary'!AZ14/BA$34*1000000000</f>
        <v>309.38626751513112</v>
      </c>
      <c r="BB16" s="371">
        <f>'GPI Summary'!BA14/BB$34*1000000000</f>
        <v>636.18669289833963</v>
      </c>
    </row>
    <row r="17" spans="1:54" x14ac:dyDescent="0.2">
      <c r="A17" s="7">
        <v>12</v>
      </c>
      <c r="B17" s="7" t="s">
        <v>118</v>
      </c>
      <c r="C17" s="385" t="s">
        <v>1017</v>
      </c>
      <c r="D17" s="371">
        <f>'GPI Summary'!C15/D$34*1000000000</f>
        <v>768.77404867108669</v>
      </c>
      <c r="E17" s="371">
        <f>'GPI Summary'!D15/E$34*1000000000</f>
        <v>1239.8022846256315</v>
      </c>
      <c r="F17" s="371">
        <f>'GPI Summary'!E15/F$34*1000000000</f>
        <v>-4.0873276000514656</v>
      </c>
      <c r="G17" s="371">
        <f>'GPI Summary'!F15/G$34*1000000000</f>
        <v>799.8420179763574</v>
      </c>
      <c r="H17" s="371">
        <f>'GPI Summary'!G15/H$34*1000000000</f>
        <v>1549.4336179292995</v>
      </c>
      <c r="I17" s="371">
        <f>'GPI Summary'!H15/I$34*1000000000</f>
        <v>969.70286924924937</v>
      </c>
      <c r="J17" s="371">
        <f>'GPI Summary'!I15/J$34*1000000000</f>
        <v>802.74155829836025</v>
      </c>
      <c r="K17" s="371">
        <f>'GPI Summary'!J15/K$34*1000000000</f>
        <v>420.61824165534131</v>
      </c>
      <c r="L17" s="371">
        <f>'GPI Summary'!K15/L$34*1000000000</f>
        <v>1249.6264922357441</v>
      </c>
      <c r="M17" s="371">
        <f>'GPI Summary'!L15/M$34*1000000000</f>
        <v>558.23676636796893</v>
      </c>
      <c r="N17" s="371">
        <f>'GPI Summary'!M15/N$34*1000000000</f>
        <v>1381.4526827994196</v>
      </c>
      <c r="O17" s="371">
        <f>'GPI Summary'!N15/O$34*1000000000</f>
        <v>465.46689315969849</v>
      </c>
      <c r="P17" s="371">
        <f>'GPI Summary'!O15/P$34*1000000000</f>
        <v>2454.3937901507447</v>
      </c>
      <c r="Q17" s="371">
        <f>'GPI Summary'!P15/Q$34*1000000000</f>
        <v>457.1323208177472</v>
      </c>
      <c r="R17" s="371">
        <f>'GPI Summary'!Q15/R$34*1000000000</f>
        <v>1049.6845997650344</v>
      </c>
      <c r="S17" s="371">
        <f>'GPI Summary'!R15/S$34*1000000000</f>
        <v>2417.8805178740099</v>
      </c>
      <c r="T17" s="371">
        <f>'GPI Summary'!S15/T$34*1000000000</f>
        <v>977.3582918697723</v>
      </c>
      <c r="U17" s="371">
        <f>'GPI Summary'!T15/U$34*1000000000</f>
        <v>687.07141860363879</v>
      </c>
      <c r="V17" s="371">
        <f>'GPI Summary'!U15/V$34*1000000000</f>
        <v>533.59606184111431</v>
      </c>
      <c r="W17" s="371">
        <f>'GPI Summary'!V15/W$34*1000000000</f>
        <v>1307.6556090032955</v>
      </c>
      <c r="X17" s="371">
        <f>'GPI Summary'!W15/X$34*1000000000</f>
        <v>517.17515151325756</v>
      </c>
      <c r="Y17" s="371">
        <f>'GPI Summary'!X15/Y$34*1000000000</f>
        <v>207.82685178649677</v>
      </c>
      <c r="Z17" s="371">
        <f>'GPI Summary'!Y15/Z$34*1000000000</f>
        <v>752.97392976481729</v>
      </c>
      <c r="AA17" s="371">
        <f>'GPI Summary'!Z15/AA$34*1000000000</f>
        <v>1296.3745894321708</v>
      </c>
      <c r="AB17" s="371">
        <f>'GPI Summary'!AA15/AB$34*1000000000</f>
        <v>2305.8227243681231</v>
      </c>
      <c r="AC17" s="371">
        <f>'GPI Summary'!AB15/AC$34*1000000000</f>
        <v>647.61815320731944</v>
      </c>
      <c r="AD17" s="371">
        <f>'GPI Summary'!AC15/AD$34*1000000000</f>
        <v>802.22312666606331</v>
      </c>
      <c r="AE17" s="371">
        <f>'GPI Summary'!AD15/AE$34*1000000000</f>
        <v>1309.0791647954984</v>
      </c>
      <c r="AF17" s="371">
        <f>'GPI Summary'!AE15/AF$34*1000000000</f>
        <v>239.72233448043559</v>
      </c>
      <c r="AG17" s="371">
        <f>'GPI Summary'!AF15/AG$34*1000000000</f>
        <v>421.06640365933703</v>
      </c>
      <c r="AH17" s="371">
        <f>'GPI Summary'!AG15/AH$34*1000000000</f>
        <v>243.71393320542421</v>
      </c>
      <c r="AI17" s="371">
        <f>'GPI Summary'!AH15/AI$34*1000000000</f>
        <v>639.10359126224103</v>
      </c>
      <c r="AJ17" s="371">
        <f>'GPI Summary'!AI15/AJ$34*1000000000</f>
        <v>439.42914705451921</v>
      </c>
      <c r="AK17" s="371">
        <f>'GPI Summary'!AJ15/AK$34*1000000000</f>
        <v>1721.0573081594632</v>
      </c>
      <c r="AL17" s="371">
        <f>'GPI Summary'!AK15/AL$34*1000000000</f>
        <v>1356.649686594144</v>
      </c>
      <c r="AM17" s="371">
        <f>'GPI Summary'!AL15/AM$34*1000000000</f>
        <v>630.13539722565542</v>
      </c>
      <c r="AN17" s="371">
        <f>'GPI Summary'!AM15/AN$34*1000000000</f>
        <v>290.32209733888533</v>
      </c>
      <c r="AO17" s="371">
        <f>'GPI Summary'!AN15/AO$34*1000000000</f>
        <v>699.49793045078115</v>
      </c>
      <c r="AP17" s="371">
        <f>'GPI Summary'!AO15/AP$34*1000000000</f>
        <v>567.08393462311074</v>
      </c>
      <c r="AQ17" s="371">
        <f>'GPI Summary'!AP15/AQ$34*1000000000</f>
        <v>138.91405042124836</v>
      </c>
      <c r="AR17" s="371">
        <f>'GPI Summary'!AQ15/AR$34*1000000000</f>
        <v>927.04651986266197</v>
      </c>
      <c r="AS17" s="371">
        <f>'GPI Summary'!AR15/AS$34*1000000000</f>
        <v>939.25221619451975</v>
      </c>
      <c r="AT17" s="371">
        <f>'GPI Summary'!AS15/AT$34*1000000000</f>
        <v>622.77165676757795</v>
      </c>
      <c r="AU17" s="371">
        <f>'GPI Summary'!AT15/AU$34*1000000000</f>
        <v>328.51334442010466</v>
      </c>
      <c r="AV17" s="371">
        <f>'GPI Summary'!AU15/AV$34*1000000000</f>
        <v>273.5535536512682</v>
      </c>
      <c r="AW17" s="371">
        <f>'GPI Summary'!AV15/AW$34*1000000000</f>
        <v>2593.5920347352017</v>
      </c>
      <c r="AX17" s="371">
        <f>'GPI Summary'!AW15/AX$34*1000000000</f>
        <v>554.08152238310799</v>
      </c>
      <c r="AY17" s="371">
        <f>'GPI Summary'!AX15/AY$34*1000000000</f>
        <v>530.58009251760404</v>
      </c>
      <c r="AZ17" s="371">
        <f>'GPI Summary'!AY15/AZ$34*1000000000</f>
        <v>564.98419918718264</v>
      </c>
      <c r="BA17" s="371">
        <f>'GPI Summary'!AZ15/BA$34*1000000000</f>
        <v>1677.2920366674975</v>
      </c>
      <c r="BB17" s="371">
        <f>'GPI Summary'!BA15/BB$34*1000000000</f>
        <v>1100.7246460863032</v>
      </c>
    </row>
    <row r="18" spans="1:54" x14ac:dyDescent="0.2">
      <c r="A18" s="7">
        <v>13</v>
      </c>
      <c r="B18" s="7" t="s">
        <v>119</v>
      </c>
      <c r="C18" s="385" t="s">
        <v>1017</v>
      </c>
      <c r="D18" s="371">
        <f>'GPI Summary'!C16/D$34*1000000000</f>
        <v>222.63133816736206</v>
      </c>
      <c r="E18" s="371">
        <f>'GPI Summary'!D16/E$34*1000000000</f>
        <v>545.20621198291565</v>
      </c>
      <c r="F18" s="371">
        <f>'GPI Summary'!E16/F$34*1000000000</f>
        <v>1282.3025861354406</v>
      </c>
      <c r="G18" s="371">
        <f>'GPI Summary'!F16/G$34*1000000000</f>
        <v>-263.94611651017453</v>
      </c>
      <c r="H18" s="371">
        <f>'GPI Summary'!G16/H$34*1000000000</f>
        <v>1823.9507906303104</v>
      </c>
      <c r="I18" s="371">
        <f>'GPI Summary'!H16/I$34*1000000000</f>
        <v>-29.903605625453228</v>
      </c>
      <c r="J18" s="371">
        <f>'GPI Summary'!I16/J$34*1000000000</f>
        <v>-508.56716245053587</v>
      </c>
      <c r="K18" s="371">
        <f>'GPI Summary'!J16/K$34*1000000000</f>
        <v>142.95593055543546</v>
      </c>
      <c r="L18" s="371">
        <f>'GPI Summary'!K16/L$34*1000000000</f>
        <v>358.64652865371642</v>
      </c>
      <c r="M18" s="371">
        <f>'GPI Summary'!L16/M$34*1000000000</f>
        <v>255.33255042625439</v>
      </c>
      <c r="N18" s="371">
        <f>'GPI Summary'!M16/N$34*1000000000</f>
        <v>432.48036038526493</v>
      </c>
      <c r="O18" s="371">
        <f>'GPI Summary'!N16/O$34*1000000000</f>
        <v>-6.0378963072397438</v>
      </c>
      <c r="P18" s="371">
        <f>'GPI Summary'!O16/P$34*1000000000</f>
        <v>618.26132710715899</v>
      </c>
      <c r="Q18" s="371">
        <f>'GPI Summary'!P16/Q$34*1000000000</f>
        <v>245.51824414156656</v>
      </c>
      <c r="R18" s="371">
        <f>'GPI Summary'!Q16/R$34*1000000000</f>
        <v>935.93465975247182</v>
      </c>
      <c r="S18" s="371">
        <f>'GPI Summary'!R16/S$34*1000000000</f>
        <v>318.88808544703375</v>
      </c>
      <c r="T18" s="371">
        <f>'GPI Summary'!S16/T$34*1000000000</f>
        <v>-135.18597461972018</v>
      </c>
      <c r="U18" s="371">
        <f>'GPI Summary'!T16/U$34*1000000000</f>
        <v>978.70426171849772</v>
      </c>
      <c r="V18" s="371">
        <f>'GPI Summary'!U16/V$34*1000000000</f>
        <v>925.21287845542281</v>
      </c>
      <c r="W18" s="371">
        <f>'GPI Summary'!V16/W$34*1000000000</f>
        <v>342.05140832971972</v>
      </c>
      <c r="X18" s="371">
        <f>'GPI Summary'!W16/X$34*1000000000</f>
        <v>223.05321755635515</v>
      </c>
      <c r="Y18" s="371">
        <f>'GPI Summary'!X16/Y$34*1000000000</f>
        <v>92.488279797663182</v>
      </c>
      <c r="Z18" s="371">
        <f>'GPI Summary'!Y16/Z$34*1000000000</f>
        <v>523.9950310095345</v>
      </c>
      <c r="AA18" s="371">
        <f>'GPI Summary'!Z16/AA$34*1000000000</f>
        <v>829.26946830614872</v>
      </c>
      <c r="AB18" s="371">
        <f>'GPI Summary'!AA16/AB$34*1000000000</f>
        <v>1046.0844898502312</v>
      </c>
      <c r="AC18" s="371">
        <f>'GPI Summary'!AB16/AC$34*1000000000</f>
        <v>756.40858703634399</v>
      </c>
      <c r="AD18" s="371">
        <f>'GPI Summary'!AC16/AD$34*1000000000</f>
        <v>-953.26058649830179</v>
      </c>
      <c r="AE18" s="371">
        <f>'GPI Summary'!AD16/AE$34*1000000000</f>
        <v>-22.843694597320482</v>
      </c>
      <c r="AF18" s="371">
        <f>'GPI Summary'!AE16/AF$34*1000000000</f>
        <v>-1099.5044406062841</v>
      </c>
      <c r="AG18" s="371">
        <f>'GPI Summary'!AF16/AG$34*1000000000</f>
        <v>192.83906623655767</v>
      </c>
      <c r="AH18" s="371">
        <f>'GPI Summary'!AG16/AH$34*1000000000</f>
        <v>107.01588224236208</v>
      </c>
      <c r="AI18" s="371">
        <f>'GPI Summary'!AH16/AI$34*1000000000</f>
        <v>-1630.9479682191627</v>
      </c>
      <c r="AJ18" s="371">
        <f>'GPI Summary'!AI16/AJ$34*1000000000</f>
        <v>174.4788607246702</v>
      </c>
      <c r="AK18" s="371">
        <f>'GPI Summary'!AJ16/AK$34*1000000000</f>
        <v>472.9990232094716</v>
      </c>
      <c r="AL18" s="371">
        <f>'GPI Summary'!AK16/AL$34*1000000000</f>
        <v>-193.45643269562169</v>
      </c>
      <c r="AM18" s="371">
        <f>'GPI Summary'!AL16/AM$34*1000000000</f>
        <v>556.87724971157195</v>
      </c>
      <c r="AN18" s="371">
        <f>'GPI Summary'!AM16/AN$34*1000000000</f>
        <v>57.620733190404067</v>
      </c>
      <c r="AO18" s="371">
        <f>'GPI Summary'!AN16/AO$34*1000000000</f>
        <v>98.108118019899536</v>
      </c>
      <c r="AP18" s="371">
        <f>'GPI Summary'!AO16/AP$34*1000000000</f>
        <v>340.23266147037003</v>
      </c>
      <c r="AQ18" s="371">
        <f>'GPI Summary'!AP16/AQ$34*1000000000</f>
        <v>106.53735278485802</v>
      </c>
      <c r="AR18" s="371">
        <f>'GPI Summary'!AQ16/AR$34*1000000000</f>
        <v>373.41594717748404</v>
      </c>
      <c r="AS18" s="371">
        <f>'GPI Summary'!AR16/AS$34*1000000000</f>
        <v>-230.03315101026845</v>
      </c>
      <c r="AT18" s="371">
        <f>'GPI Summary'!AS16/AT$34*1000000000</f>
        <v>637.74587636588547</v>
      </c>
      <c r="AU18" s="371">
        <f>'GPI Summary'!AT16/AU$34*1000000000</f>
        <v>-324.54569417580007</v>
      </c>
      <c r="AV18" s="371">
        <f>'GPI Summary'!AU16/AV$34*1000000000</f>
        <v>-1514.8093784647028</v>
      </c>
      <c r="AW18" s="371">
        <f>'GPI Summary'!AV16/AW$34*1000000000</f>
        <v>672.25486910780785</v>
      </c>
      <c r="AX18" s="371">
        <f>'GPI Summary'!AW16/AX$34*1000000000</f>
        <v>415.97554782769424</v>
      </c>
      <c r="AY18" s="371">
        <f>'GPI Summary'!AX16/AY$34*1000000000</f>
        <v>188.04088033840662</v>
      </c>
      <c r="AZ18" s="371">
        <f>'GPI Summary'!AY16/AZ$34*1000000000</f>
        <v>551.94084068536006</v>
      </c>
      <c r="BA18" s="371">
        <f>'GPI Summary'!AZ16/BA$34*1000000000</f>
        <v>656.92968142906898</v>
      </c>
      <c r="BB18" s="371">
        <f>'GPI Summary'!BA16/BB$34*1000000000</f>
        <v>1422.4896206764365</v>
      </c>
    </row>
    <row r="19" spans="1:54" x14ac:dyDescent="0.2">
      <c r="A19" s="7">
        <v>14</v>
      </c>
      <c r="B19" s="7" t="s">
        <v>120</v>
      </c>
      <c r="C19" s="385" t="s">
        <v>1017</v>
      </c>
      <c r="D19" s="371">
        <f>'GPI Summary'!C17/D$34*1000000000</f>
        <v>2496.3337886417439</v>
      </c>
      <c r="E19" s="371">
        <f>'GPI Summary'!D17/E$34*1000000000</f>
        <v>4023.8993169927662</v>
      </c>
      <c r="F19" s="371">
        <f>'GPI Summary'!E17/F$34*1000000000</f>
        <v>6975.0713329966766</v>
      </c>
      <c r="G19" s="371">
        <f>'GPI Summary'!F17/G$34*1000000000</f>
        <v>1935.4103368736953</v>
      </c>
      <c r="H19" s="371">
        <f>'GPI Summary'!G17/H$34*1000000000</f>
        <v>3410.864611541409</v>
      </c>
      <c r="I19" s="371">
        <f>'GPI Summary'!H17/I$34*1000000000</f>
        <v>1308.9601513002974</v>
      </c>
      <c r="J19" s="371">
        <f>'GPI Summary'!I17/J$34*1000000000</f>
        <v>2431.7084985757165</v>
      </c>
      <c r="K19" s="371">
        <f>'GPI Summary'!J17/K$34*1000000000</f>
        <v>1366.952953243836</v>
      </c>
      <c r="L19" s="371">
        <f>'GPI Summary'!K17/L$34*1000000000</f>
        <v>1950.1577448278747</v>
      </c>
      <c r="M19" s="371">
        <f>'GPI Summary'!L17/M$34*1000000000</f>
        <v>1711.1588129257577</v>
      </c>
      <c r="N19" s="371">
        <f>'GPI Summary'!M17/N$34*1000000000</f>
        <v>2320.6012823052752</v>
      </c>
      <c r="O19" s="371">
        <f>'GPI Summary'!N17/O$34*1000000000</f>
        <v>1871.9717669489341</v>
      </c>
      <c r="P19" s="371">
        <f>'GPI Summary'!O17/P$34*1000000000</f>
        <v>1576.0144431240601</v>
      </c>
      <c r="Q19" s="371">
        <f>'GPI Summary'!P17/Q$34*1000000000</f>
        <v>2455.140386415912</v>
      </c>
      <c r="R19" s="371">
        <f>'GPI Summary'!Q17/R$34*1000000000</f>
        <v>4375.3654606235305</v>
      </c>
      <c r="S19" s="371">
        <f>'GPI Summary'!R17/S$34*1000000000</f>
        <v>3896.8561461800409</v>
      </c>
      <c r="T19" s="371">
        <f>'GPI Summary'!S17/T$34*1000000000</f>
        <v>3509.5740501738119</v>
      </c>
      <c r="U19" s="371">
        <f>'GPI Summary'!T17/U$34*1000000000</f>
        <v>4623.4672868837815</v>
      </c>
      <c r="V19" s="371">
        <f>'GPI Summary'!U17/V$34*1000000000</f>
        <v>7143.2604738395139</v>
      </c>
      <c r="W19" s="371">
        <f>'GPI Summary'!V17/W$34*1000000000</f>
        <v>2666.58166974608</v>
      </c>
      <c r="X19" s="371">
        <f>'GPI Summary'!W17/X$34*1000000000</f>
        <v>1570.5527958652974</v>
      </c>
      <c r="Y19" s="371">
        <f>'GPI Summary'!X17/Y$34*1000000000</f>
        <v>1428.3931540301849</v>
      </c>
      <c r="Z19" s="371">
        <f>'GPI Summary'!Y17/Z$34*1000000000</f>
        <v>2274.3920061620665</v>
      </c>
      <c r="AA19" s="371">
        <f>'GPI Summary'!Z17/AA$34*1000000000</f>
        <v>2492.8573373065756</v>
      </c>
      <c r="AB19" s="371">
        <f>'GPI Summary'!AA17/AB$34*1000000000</f>
        <v>2962.5971891971762</v>
      </c>
      <c r="AC19" s="371">
        <f>'GPI Summary'!AB17/AC$34*1000000000</f>
        <v>3087.2178259575599</v>
      </c>
      <c r="AD19" s="371">
        <f>'GPI Summary'!AC17/AD$34*1000000000</f>
        <v>4286.3673547076532</v>
      </c>
      <c r="AE19" s="371">
        <f>'GPI Summary'!AD17/AE$34*1000000000</f>
        <v>3821.9500838828676</v>
      </c>
      <c r="AF19" s="371">
        <f>'GPI Summary'!AE17/AF$34*1000000000</f>
        <v>1663.3391837418612</v>
      </c>
      <c r="AG19" s="371">
        <f>'GPI Summary'!AF17/AG$34*1000000000</f>
        <v>1886.0839183453359</v>
      </c>
      <c r="AH19" s="371">
        <f>'GPI Summary'!AG17/AH$34*1000000000</f>
        <v>1793.7154486263726</v>
      </c>
      <c r="AI19" s="371">
        <f>'GPI Summary'!AH17/AI$34*1000000000</f>
        <v>3724.0869402549361</v>
      </c>
      <c r="AJ19" s="371">
        <f>'GPI Summary'!AI17/AJ$34*1000000000</f>
        <v>1161.6450686996852</v>
      </c>
      <c r="AK19" s="371">
        <f>'GPI Summary'!AJ17/AK$34*1000000000</f>
        <v>1911.0513868836356</v>
      </c>
      <c r="AL19" s="371">
        <f>'GPI Summary'!AK17/AL$34*1000000000</f>
        <v>10464.445001113883</v>
      </c>
      <c r="AM19" s="371">
        <f>'GPI Summary'!AL17/AM$34*1000000000</f>
        <v>2812.6025770161314</v>
      </c>
      <c r="AN19" s="371">
        <f>'GPI Summary'!AM17/AN$34*1000000000</f>
        <v>3876.512277156467</v>
      </c>
      <c r="AO19" s="371">
        <f>'GPI Summary'!AN17/AO$34*1000000000</f>
        <v>1429.9882295005309</v>
      </c>
      <c r="AP19" s="371">
        <f>'GPI Summary'!AO17/AP$34*1000000000</f>
        <v>2701.9773440023196</v>
      </c>
      <c r="AQ19" s="371">
        <f>'GPI Summary'!AP17/AQ$34*1000000000</f>
        <v>1413.5229389589263</v>
      </c>
      <c r="AR19" s="371">
        <f>'GPI Summary'!AQ17/AR$34*1000000000</f>
        <v>2515.2343468011582</v>
      </c>
      <c r="AS19" s="371">
        <f>'GPI Summary'!AR17/AS$34*1000000000</f>
        <v>2451.828809249384</v>
      </c>
      <c r="AT19" s="371">
        <f>'GPI Summary'!AS17/AT$34*1000000000</f>
        <v>2319.4446673099342</v>
      </c>
      <c r="AU19" s="371">
        <f>'GPI Summary'!AT17/AU$34*1000000000</f>
        <v>4000.1743587217547</v>
      </c>
      <c r="AV19" s="371">
        <f>'GPI Summary'!AU17/AV$34*1000000000</f>
        <v>3059.8457960760397</v>
      </c>
      <c r="AW19" s="371">
        <f>'GPI Summary'!AV17/AW$34*1000000000</f>
        <v>1534.8151813860375</v>
      </c>
      <c r="AX19" s="371">
        <f>'GPI Summary'!AW17/AX$34*1000000000</f>
        <v>1767.6866936265053</v>
      </c>
      <c r="AY19" s="371">
        <f>'GPI Summary'!AX17/AY$34*1000000000</f>
        <v>1530.6499460288214</v>
      </c>
      <c r="AZ19" s="371">
        <f>'GPI Summary'!AY17/AZ$34*1000000000</f>
        <v>7070.6693894544678</v>
      </c>
      <c r="BA19" s="371">
        <f>'GPI Summary'!AZ17/BA$34*1000000000</f>
        <v>2497.1647224772805</v>
      </c>
      <c r="BB19" s="371">
        <f>'GPI Summary'!BA17/BB$34*1000000000</f>
        <v>15004.613918517305</v>
      </c>
    </row>
    <row r="20" spans="1:54" x14ac:dyDescent="0.2">
      <c r="A20" s="7">
        <v>15</v>
      </c>
      <c r="B20" s="7" t="s">
        <v>121</v>
      </c>
      <c r="C20" s="385" t="s">
        <v>1017</v>
      </c>
      <c r="D20" s="371">
        <f>'GPI Summary'!C18/D$34*1000000000</f>
        <v>2017.518182113681</v>
      </c>
      <c r="E20" s="371">
        <f>'GPI Summary'!D18/E$34*1000000000</f>
        <v>2017.518182113681</v>
      </c>
      <c r="F20" s="371">
        <f>'GPI Summary'!E18/F$34*1000000000</f>
        <v>2017.518182113681</v>
      </c>
      <c r="G20" s="371">
        <f>'GPI Summary'!F18/G$34*1000000000</f>
        <v>2017.5181821136805</v>
      </c>
      <c r="H20" s="371">
        <f>'GPI Summary'!G18/H$34*1000000000</f>
        <v>2017.518182113681</v>
      </c>
      <c r="I20" s="371">
        <f>'GPI Summary'!H18/I$34*1000000000</f>
        <v>2017.518182113681</v>
      </c>
      <c r="J20" s="371">
        <f>'GPI Summary'!I18/J$34*1000000000</f>
        <v>2017.518182113681</v>
      </c>
      <c r="K20" s="371">
        <f>'GPI Summary'!J18/K$34*1000000000</f>
        <v>2017.518182113681</v>
      </c>
      <c r="L20" s="371">
        <f>'GPI Summary'!K18/L$34*1000000000</f>
        <v>2017.518182113681</v>
      </c>
      <c r="M20" s="371">
        <f>'GPI Summary'!L18/M$34*1000000000</f>
        <v>2017.518182113681</v>
      </c>
      <c r="N20" s="371">
        <f>'GPI Summary'!M18/N$34*1000000000</f>
        <v>2017.518182113681</v>
      </c>
      <c r="O20" s="371">
        <f>'GPI Summary'!N18/O$34*1000000000</f>
        <v>2017.5181821136805</v>
      </c>
      <c r="P20" s="371">
        <f>'GPI Summary'!O18/P$34*1000000000</f>
        <v>2017.518182113681</v>
      </c>
      <c r="Q20" s="371">
        <f>'GPI Summary'!P18/Q$34*1000000000</f>
        <v>2017.518182113681</v>
      </c>
      <c r="R20" s="371">
        <f>'GPI Summary'!Q18/R$34*1000000000</f>
        <v>2017.518182113681</v>
      </c>
      <c r="S20" s="371">
        <f>'GPI Summary'!R18/S$34*1000000000</f>
        <v>2017.518182113681</v>
      </c>
      <c r="T20" s="371">
        <f>'GPI Summary'!S18/T$34*1000000000</f>
        <v>2017.518182113681</v>
      </c>
      <c r="U20" s="371">
        <f>'GPI Summary'!T18/U$34*1000000000</f>
        <v>2017.518182113681</v>
      </c>
      <c r="V20" s="371">
        <f>'GPI Summary'!U18/V$34*1000000000</f>
        <v>2017.518182113681</v>
      </c>
      <c r="W20" s="371">
        <f>'GPI Summary'!V18/W$34*1000000000</f>
        <v>2017.518182113681</v>
      </c>
      <c r="X20" s="371">
        <f>'GPI Summary'!W18/X$34*1000000000</f>
        <v>2017.5181821136805</v>
      </c>
      <c r="Y20" s="371">
        <f>'GPI Summary'!X18/Y$34*1000000000</f>
        <v>2017.518182113681</v>
      </c>
      <c r="Z20" s="371">
        <f>'GPI Summary'!Y18/Z$34*1000000000</f>
        <v>2017.518182113681</v>
      </c>
      <c r="AA20" s="371">
        <f>'GPI Summary'!Z18/AA$34*1000000000</f>
        <v>2017.518182113681</v>
      </c>
      <c r="AB20" s="371">
        <f>'GPI Summary'!AA18/AB$34*1000000000</f>
        <v>2017.518182113681</v>
      </c>
      <c r="AC20" s="371">
        <f>'GPI Summary'!AB18/AC$34*1000000000</f>
        <v>2017.5181821136805</v>
      </c>
      <c r="AD20" s="371">
        <f>'GPI Summary'!AC18/AD$34*1000000000</f>
        <v>2017.5181821136805</v>
      </c>
      <c r="AE20" s="371">
        <f>'GPI Summary'!AD18/AE$34*1000000000</f>
        <v>2017.518182113681</v>
      </c>
      <c r="AF20" s="371">
        <f>'GPI Summary'!AE18/AF$34*1000000000</f>
        <v>2017.5181821136805</v>
      </c>
      <c r="AG20" s="371">
        <f>'GPI Summary'!AF18/AG$34*1000000000</f>
        <v>2017.5181821136805</v>
      </c>
      <c r="AH20" s="371">
        <f>'GPI Summary'!AG18/AH$34*1000000000</f>
        <v>2017.518182113681</v>
      </c>
      <c r="AI20" s="371">
        <f>'GPI Summary'!AH18/AI$34*1000000000</f>
        <v>2017.518182113681</v>
      </c>
      <c r="AJ20" s="371">
        <f>'GPI Summary'!AI18/AJ$34*1000000000</f>
        <v>2017.5181821136805</v>
      </c>
      <c r="AK20" s="371">
        <f>'GPI Summary'!AJ18/AK$34*1000000000</f>
        <v>2017.518182113681</v>
      </c>
      <c r="AL20" s="371">
        <f>'GPI Summary'!AK18/AL$34*1000000000</f>
        <v>2017.518182113681</v>
      </c>
      <c r="AM20" s="371">
        <f>'GPI Summary'!AL18/AM$34*1000000000</f>
        <v>2017.5181821136805</v>
      </c>
      <c r="AN20" s="371">
        <f>'GPI Summary'!AM18/AN$34*1000000000</f>
        <v>2017.5181821136805</v>
      </c>
      <c r="AO20" s="371">
        <f>'GPI Summary'!AN18/AO$34*1000000000</f>
        <v>2017.518182113681</v>
      </c>
      <c r="AP20" s="371">
        <f>'GPI Summary'!AO18/AP$34*1000000000</f>
        <v>2017.518182113681</v>
      </c>
      <c r="AQ20" s="371">
        <f>'GPI Summary'!AP18/AQ$34*1000000000</f>
        <v>2017.5181821136805</v>
      </c>
      <c r="AR20" s="371">
        <f>'GPI Summary'!AQ18/AR$34*1000000000</f>
        <v>2017.518182113681</v>
      </c>
      <c r="AS20" s="371">
        <f>'GPI Summary'!AR18/AS$34*1000000000</f>
        <v>2017.518182113681</v>
      </c>
      <c r="AT20" s="371">
        <f>'GPI Summary'!AS18/AT$34*1000000000</f>
        <v>2017.518182113681</v>
      </c>
      <c r="AU20" s="371">
        <f>'GPI Summary'!AT18/AU$34*1000000000</f>
        <v>2017.518182113681</v>
      </c>
      <c r="AV20" s="371">
        <f>'GPI Summary'!AU18/AV$34*1000000000</f>
        <v>2017.518182113681</v>
      </c>
      <c r="AW20" s="371">
        <f>'GPI Summary'!AV18/AW$34*1000000000</f>
        <v>2017.5181821136805</v>
      </c>
      <c r="AX20" s="371">
        <f>'GPI Summary'!AW18/AX$34*1000000000</f>
        <v>2017.518182113681</v>
      </c>
      <c r="AY20" s="371">
        <f>'GPI Summary'!AX18/AY$34*1000000000</f>
        <v>2017.5181821136805</v>
      </c>
      <c r="AZ20" s="371">
        <f>'GPI Summary'!AY18/AZ$34*1000000000</f>
        <v>2017.518182113681</v>
      </c>
      <c r="BA20" s="371">
        <f>'GPI Summary'!AZ18/BA$34*1000000000</f>
        <v>2017.518182113681</v>
      </c>
      <c r="BB20" s="371">
        <f>'GPI Summary'!BA18/BB$34*1000000000</f>
        <v>2017.518182113681</v>
      </c>
    </row>
    <row r="21" spans="1:54" x14ac:dyDescent="0.2">
      <c r="A21" s="7">
        <v>16</v>
      </c>
      <c r="B21" s="7" t="s">
        <v>122</v>
      </c>
      <c r="C21" s="385" t="s">
        <v>1017</v>
      </c>
      <c r="D21" s="371">
        <f>'GPI Summary'!C19/D$34*1000000000</f>
        <v>8171.9759073924479</v>
      </c>
      <c r="E21" s="371">
        <f>'GPI Summary'!D19/E$34*1000000000</f>
        <v>13872.987606012939</v>
      </c>
      <c r="F21" s="371">
        <f>'GPI Summary'!E19/F$34*1000000000</f>
        <v>22869.338241326972</v>
      </c>
      <c r="G21" s="371">
        <f>'GPI Summary'!F19/G$34*1000000000</f>
        <v>7325.0684466477442</v>
      </c>
      <c r="H21" s="371">
        <f>'GPI Summary'!G19/H$34*1000000000</f>
        <v>10783.090329465576</v>
      </c>
      <c r="I21" s="371">
        <f>'GPI Summary'!H19/I$34*1000000000</f>
        <v>4548.306033658253</v>
      </c>
      <c r="J21" s="371">
        <f>'GPI Summary'!I19/J$34*1000000000</f>
        <v>7281.717079577943</v>
      </c>
      <c r="K21" s="371">
        <f>'GPI Summary'!J19/K$34*1000000000</f>
        <v>5953.6579131383905</v>
      </c>
      <c r="L21" s="371">
        <f>'GPI Summary'!K19/L$34*1000000000</f>
        <v>6248.5082361282775</v>
      </c>
      <c r="M21" s="371">
        <f>'GPI Summary'!L19/M$34*1000000000</f>
        <v>5661.4344207240756</v>
      </c>
      <c r="N21" s="371">
        <f>'GPI Summary'!M19/N$34*1000000000</f>
        <v>7390.9343757804563</v>
      </c>
      <c r="O21" s="371">
        <f>'GPI Summary'!N19/O$34*1000000000</f>
        <v>5461.3113570665837</v>
      </c>
      <c r="P21" s="371">
        <f>'GPI Summary'!O19/P$34*1000000000</f>
        <v>4264.2491263405018</v>
      </c>
      <c r="Q21" s="371">
        <f>'GPI Summary'!P19/Q$34*1000000000</f>
        <v>9597.45332671502</v>
      </c>
      <c r="R21" s="371">
        <f>'GPI Summary'!Q19/R$34*1000000000</f>
        <v>12102.620288647857</v>
      </c>
      <c r="S21" s="371">
        <f>'GPI Summary'!R19/S$34*1000000000</f>
        <v>11310.806725969733</v>
      </c>
      <c r="T21" s="371">
        <f>'GPI Summary'!S19/T$34*1000000000</f>
        <v>11054.425912982972</v>
      </c>
      <c r="U21" s="371">
        <f>'GPI Summary'!T19/U$34*1000000000</f>
        <v>12511.486335998916</v>
      </c>
      <c r="V21" s="371">
        <f>'GPI Summary'!U19/V$34*1000000000</f>
        <v>23130.592865450035</v>
      </c>
      <c r="W21" s="371">
        <f>'GPI Summary'!V19/W$34*1000000000</f>
        <v>6322.7116374114294</v>
      </c>
      <c r="X21" s="371">
        <f>'GPI Summary'!W19/X$34*1000000000</f>
        <v>5248.4272705563053</v>
      </c>
      <c r="Y21" s="371">
        <f>'GPI Summary'!X19/Y$34*1000000000</f>
        <v>4905.3021613780575</v>
      </c>
      <c r="Z21" s="371">
        <f>'GPI Summary'!Y19/Z$34*1000000000</f>
        <v>7657.6392893191696</v>
      </c>
      <c r="AA21" s="371">
        <f>'GPI Summary'!Z19/AA$34*1000000000</f>
        <v>7986.3835549847508</v>
      </c>
      <c r="AB21" s="371">
        <f>'GPI Summary'!AA19/AB$34*1000000000</f>
        <v>10289.478847430226</v>
      </c>
      <c r="AC21" s="371">
        <f>'GPI Summary'!AB19/AC$34*1000000000</f>
        <v>8982.0208192244936</v>
      </c>
      <c r="AD21" s="371">
        <f>'GPI Summary'!AC19/AD$34*1000000000</f>
        <v>11983.601352741407</v>
      </c>
      <c r="AE21" s="371">
        <f>'GPI Summary'!AD19/AE$34*1000000000</f>
        <v>12037.93734550597</v>
      </c>
      <c r="AF21" s="371">
        <f>'GPI Summary'!AE19/AF$34*1000000000</f>
        <v>5830.2084560121875</v>
      </c>
      <c r="AG21" s="371">
        <f>'GPI Summary'!AF19/AG$34*1000000000</f>
        <v>7813.5475404295066</v>
      </c>
      <c r="AH21" s="371">
        <f>'GPI Summary'!AG19/AH$34*1000000000</f>
        <v>6901.5874384926346</v>
      </c>
      <c r="AI21" s="371">
        <f>'GPI Summary'!AH19/AI$34*1000000000</f>
        <v>10990.319894177379</v>
      </c>
      <c r="AJ21" s="371">
        <f>'GPI Summary'!AI19/AJ$34*1000000000</f>
        <v>4546.7030382234871</v>
      </c>
      <c r="AK21" s="371">
        <f>'GPI Summary'!AJ19/AK$34*1000000000</f>
        <v>6568.2266483844078</v>
      </c>
      <c r="AL21" s="371">
        <f>'GPI Summary'!AK19/AL$34*1000000000</f>
        <v>27747.048956482606</v>
      </c>
      <c r="AM21" s="371">
        <f>'GPI Summary'!AL19/AM$34*1000000000</f>
        <v>8401.5924035844018</v>
      </c>
      <c r="AN21" s="371">
        <f>'GPI Summary'!AM19/AN$34*1000000000</f>
        <v>12001.28840532402</v>
      </c>
      <c r="AO21" s="371">
        <f>'GPI Summary'!AN19/AO$34*1000000000</f>
        <v>4110.5319994189349</v>
      </c>
      <c r="AP21" s="371">
        <f>'GPI Summary'!AO19/AP$34*1000000000</f>
        <v>9788.4052587286242</v>
      </c>
      <c r="AQ21" s="371">
        <f>'GPI Summary'!AP19/AQ$34*1000000000</f>
        <v>5023.010294705774</v>
      </c>
      <c r="AR21" s="371">
        <f>'GPI Summary'!AQ19/AR$34*1000000000</f>
        <v>10539.419647907258</v>
      </c>
      <c r="AS21" s="371">
        <f>'GPI Summary'!AR19/AS$34*1000000000</f>
        <v>7303.2457618661629</v>
      </c>
      <c r="AT21" s="371">
        <f>'GPI Summary'!AS19/AT$34*1000000000</f>
        <v>7694.4557000955629</v>
      </c>
      <c r="AU21" s="371">
        <f>'GPI Summary'!AT19/AU$34*1000000000</f>
        <v>12819.311218798541</v>
      </c>
      <c r="AV21" s="371">
        <f>'GPI Summary'!AU19/AV$34*1000000000</f>
        <v>8881.339885452142</v>
      </c>
      <c r="AW21" s="371">
        <f>'GPI Summary'!AV19/AW$34*1000000000</f>
        <v>6962.8221049270614</v>
      </c>
      <c r="AX21" s="371">
        <f>'GPI Summary'!AW19/AX$34*1000000000</f>
        <v>6026.5307245272361</v>
      </c>
      <c r="AY21" s="371">
        <f>'GPI Summary'!AX19/AY$34*1000000000</f>
        <v>4301.1525852746445</v>
      </c>
      <c r="AZ21" s="371">
        <f>'GPI Summary'!AY19/AZ$34*1000000000</f>
        <v>18533.382269464029</v>
      </c>
      <c r="BA21" s="371">
        <f>'GPI Summary'!AZ19/BA$34*1000000000</f>
        <v>7529.4220681375491</v>
      </c>
      <c r="BB21" s="371">
        <f>'GPI Summary'!BA19/BB$34*1000000000</f>
        <v>41330.621900314021</v>
      </c>
    </row>
    <row r="22" spans="1:54" x14ac:dyDescent="0.2">
      <c r="A22" s="7">
        <v>17</v>
      </c>
      <c r="B22" s="7" t="s">
        <v>1020</v>
      </c>
      <c r="C22" s="385" t="s">
        <v>1017</v>
      </c>
      <c r="D22" s="371">
        <f>'GPI Summary'!C20/D$34*1000000000</f>
        <v>6864.2202714925015</v>
      </c>
      <c r="E22" s="371">
        <f>'GPI Summary'!D20/E$34*1000000000</f>
        <v>5962.3399193311643</v>
      </c>
      <c r="F22" s="371">
        <f>'GPI Summary'!E20/F$34*1000000000</f>
        <v>7350.4969905119779</v>
      </c>
      <c r="G22" s="371">
        <f>'GPI Summary'!F20/G$34*1000000000</f>
        <v>6212.3370840900743</v>
      </c>
      <c r="H22" s="371">
        <f>'GPI Summary'!G20/H$34*1000000000</f>
        <v>5666.5165842750012</v>
      </c>
      <c r="I22" s="371">
        <f>'GPI Summary'!H20/I$34*1000000000</f>
        <v>7446.8493232838518</v>
      </c>
      <c r="J22" s="371">
        <f>'GPI Summary'!I20/J$34*1000000000</f>
        <v>6833.3454117039992</v>
      </c>
      <c r="K22" s="371">
        <f>'GPI Summary'!J20/K$34*1000000000</f>
        <v>7863.7051054097665</v>
      </c>
      <c r="L22" s="371">
        <f>'GPI Summary'!K20/L$34*1000000000</f>
        <v>6459.2248907510657</v>
      </c>
      <c r="M22" s="371">
        <f>'GPI Summary'!L20/M$34*1000000000</f>
        <v>6433.7465898319606</v>
      </c>
      <c r="N22" s="371">
        <f>'GPI Summary'!M20/N$34*1000000000</f>
        <v>5902.9505004249704</v>
      </c>
      <c r="O22" s="371">
        <f>'GPI Summary'!N20/O$34*1000000000</f>
        <v>9956.2935566583401</v>
      </c>
      <c r="P22" s="371">
        <f>'GPI Summary'!O20/P$34*1000000000</f>
        <v>5919.5614733833263</v>
      </c>
      <c r="Q22" s="371">
        <f>'GPI Summary'!P20/Q$34*1000000000</f>
        <v>7117.0481434018329</v>
      </c>
      <c r="R22" s="371">
        <f>'GPI Summary'!Q20/R$34*1000000000</f>
        <v>6062.5130577830896</v>
      </c>
      <c r="S22" s="371">
        <f>'GPI Summary'!R20/S$34*1000000000</f>
        <v>6483.2810156845553</v>
      </c>
      <c r="T22" s="371">
        <f>'GPI Summary'!S20/T$34*1000000000</f>
        <v>5821.3277087081669</v>
      </c>
      <c r="U22" s="371">
        <f>'GPI Summary'!T20/U$34*1000000000</f>
        <v>6070.2003319582655</v>
      </c>
      <c r="V22" s="371">
        <f>'GPI Summary'!U20/V$34*1000000000</f>
        <v>5882.127792650379</v>
      </c>
      <c r="W22" s="371">
        <f>'GPI Summary'!V20/W$34*1000000000</f>
        <v>6981.8529181299236</v>
      </c>
      <c r="X22" s="371">
        <f>'GPI Summary'!W20/X$34*1000000000</f>
        <v>6955.1815424582492</v>
      </c>
      <c r="Y22" s="371">
        <f>'GPI Summary'!X20/Y$34*1000000000</f>
        <v>8871.2073758616443</v>
      </c>
      <c r="Z22" s="371">
        <f>'GPI Summary'!Y20/Z$34*1000000000</f>
        <v>7177.6860942663534</v>
      </c>
      <c r="AA22" s="371">
        <f>'GPI Summary'!Z20/AA$34*1000000000</f>
        <v>7117.2257396053601</v>
      </c>
      <c r="AB22" s="371">
        <f>'GPI Summary'!AA20/AB$34*1000000000</f>
        <v>5679.0367830400255</v>
      </c>
      <c r="AC22" s="371">
        <f>'GPI Summary'!AB20/AC$34*1000000000</f>
        <v>6193.3522448746753</v>
      </c>
      <c r="AD22" s="371">
        <f>'GPI Summary'!AC20/AD$34*1000000000</f>
        <v>6276.1403009140331</v>
      </c>
      <c r="AE22" s="371">
        <f>'GPI Summary'!AD20/AE$34*1000000000</f>
        <v>6052.6692550457756</v>
      </c>
      <c r="AF22" s="371">
        <f>'GPI Summary'!AE20/AF$34*1000000000</f>
        <v>8641.1894290397013</v>
      </c>
      <c r="AG22" s="371">
        <f>'GPI Summary'!AF20/AG$34*1000000000</f>
        <v>7224.3530705103267</v>
      </c>
      <c r="AH22" s="371">
        <f>'GPI Summary'!AG20/AH$34*1000000000</f>
        <v>7327.134002927748</v>
      </c>
      <c r="AI22" s="371">
        <f>'GPI Summary'!AH20/AI$34*1000000000</f>
        <v>6070.4799321952369</v>
      </c>
      <c r="AJ22" s="371">
        <f>'GPI Summary'!AI20/AJ$34*1000000000</f>
        <v>9664.4206947198636</v>
      </c>
      <c r="AK22" s="371">
        <f>'GPI Summary'!AJ20/AK$34*1000000000</f>
        <v>6136.0201680740529</v>
      </c>
      <c r="AL22" s="371">
        <f>'GPI Summary'!AK20/AL$34*1000000000</f>
        <v>6374.7176289978697</v>
      </c>
      <c r="AM22" s="371">
        <f>'GPI Summary'!AL20/AM$34*1000000000</f>
        <v>6648.2505757762738</v>
      </c>
      <c r="AN22" s="371">
        <f>'GPI Summary'!AM20/AN$34*1000000000</f>
        <v>5838.3557226789644</v>
      </c>
      <c r="AO22" s="371">
        <f>'GPI Summary'!AN20/AO$34*1000000000</f>
        <v>7044.129138586678</v>
      </c>
      <c r="AP22" s="371">
        <f>'GPI Summary'!AO20/AP$34*1000000000</f>
        <v>7027.7446536263342</v>
      </c>
      <c r="AQ22" s="371">
        <f>'GPI Summary'!AP20/AQ$34*1000000000</f>
        <v>7956.8972580755099</v>
      </c>
      <c r="AR22" s="371">
        <f>'GPI Summary'!AQ20/AR$34*1000000000</f>
        <v>6143.1720025086943</v>
      </c>
      <c r="AS22" s="371">
        <f>'GPI Summary'!AR20/AS$34*1000000000</f>
        <v>6048.2576374835644</v>
      </c>
      <c r="AT22" s="371">
        <f>'GPI Summary'!AS20/AT$34*1000000000</f>
        <v>5970.5339579648517</v>
      </c>
      <c r="AU22" s="371">
        <f>'GPI Summary'!AT20/AU$34*1000000000</f>
        <v>5681.5946009878826</v>
      </c>
      <c r="AV22" s="371">
        <f>'GPI Summary'!AU20/AV$34*1000000000</f>
        <v>5653.1332838431081</v>
      </c>
      <c r="AW22" s="371">
        <f>'GPI Summary'!AV20/AW$34*1000000000</f>
        <v>7547.8588435536994</v>
      </c>
      <c r="AX22" s="371">
        <f>'GPI Summary'!AW20/AX$34*1000000000</f>
        <v>6397.0449623961549</v>
      </c>
      <c r="AY22" s="371">
        <f>'GPI Summary'!AX20/AY$34*1000000000</f>
        <v>7486.3465697848269</v>
      </c>
      <c r="AZ22" s="371">
        <f>'GPI Summary'!AY20/AZ$34*1000000000</f>
        <v>6434.7382049654225</v>
      </c>
      <c r="BA22" s="371">
        <f>'GPI Summary'!AZ20/BA$34*1000000000</f>
        <v>6533.5335579360071</v>
      </c>
      <c r="BB22" s="371">
        <f>'GPI Summary'!BA20/BB$34*1000000000</f>
        <v>6256.6852341739577</v>
      </c>
    </row>
    <row r="23" spans="1:54" x14ac:dyDescent="0.2">
      <c r="A23" s="7">
        <v>18</v>
      </c>
      <c r="B23" s="7" t="s">
        <v>123</v>
      </c>
      <c r="C23" s="385" t="s">
        <v>1017</v>
      </c>
      <c r="D23" s="371">
        <f>'GPI Summary'!C21/D$34*1000000000</f>
        <v>216.59188630920326</v>
      </c>
      <c r="E23" s="371">
        <f>'GPI Summary'!D21/E$34*1000000000</f>
        <v>243.48935904673354</v>
      </c>
      <c r="F23" s="371">
        <f>'GPI Summary'!E21/F$34*1000000000</f>
        <v>263.06486551744479</v>
      </c>
      <c r="G23" s="371">
        <f>'GPI Summary'!F21/G$34*1000000000</f>
        <v>208.14230286761395</v>
      </c>
      <c r="H23" s="371">
        <f>'GPI Summary'!G21/H$34*1000000000</f>
        <v>268.06624812330477</v>
      </c>
      <c r="I23" s="371">
        <f>'GPI Summary'!H21/I$34*1000000000</f>
        <v>215.94896171963887</v>
      </c>
      <c r="J23" s="371">
        <f>'GPI Summary'!I21/J$34*1000000000</f>
        <v>234.98039608020144</v>
      </c>
      <c r="K23" s="371">
        <f>'GPI Summary'!J21/K$34*1000000000</f>
        <v>210.17738440114019</v>
      </c>
      <c r="L23" s="371">
        <f>'GPI Summary'!K21/L$34*1000000000</f>
        <v>211.22675407076173</v>
      </c>
      <c r="M23" s="371">
        <f>'GPI Summary'!L21/M$34*1000000000</f>
        <v>223.97378394067837</v>
      </c>
      <c r="N23" s="371">
        <f>'GPI Summary'!M21/N$34*1000000000</f>
        <v>213.70713070008134</v>
      </c>
      <c r="O23" s="371">
        <f>'GPI Summary'!N21/O$34*1000000000</f>
        <v>199.59060140723031</v>
      </c>
      <c r="P23" s="371">
        <f>'GPI Summary'!O21/P$34*1000000000</f>
        <v>250.34040908910671</v>
      </c>
      <c r="Q23" s="371">
        <f>'GPI Summary'!P21/Q$34*1000000000</f>
        <v>197.21871852092676</v>
      </c>
      <c r="R23" s="371">
        <f>'GPI Summary'!Q21/R$34*1000000000</f>
        <v>225.05568699410031</v>
      </c>
      <c r="S23" s="371">
        <f>'GPI Summary'!R21/S$34*1000000000</f>
        <v>191.75972387654664</v>
      </c>
      <c r="T23" s="371">
        <f>'GPI Summary'!S21/T$34*1000000000</f>
        <v>235.92784647635401</v>
      </c>
      <c r="U23" s="371">
        <f>'GPI Summary'!T21/U$34*1000000000</f>
        <v>225.49143074156353</v>
      </c>
      <c r="V23" s="371">
        <f>'GPI Summary'!U21/V$34*1000000000</f>
        <v>232.71127172573361</v>
      </c>
      <c r="W23" s="371">
        <f>'GPI Summary'!V21/W$34*1000000000</f>
        <v>242.34459351828656</v>
      </c>
      <c r="X23" s="371">
        <f>'GPI Summary'!W21/X$34*1000000000</f>
        <v>200.9015867579258</v>
      </c>
      <c r="Y23" s="371">
        <f>'GPI Summary'!X21/Y$34*1000000000</f>
        <v>195.29341429890815</v>
      </c>
      <c r="Z23" s="371">
        <f>'GPI Summary'!Y21/Z$34*1000000000</f>
        <v>227.33491491713519</v>
      </c>
      <c r="AA23" s="371">
        <f>'GPI Summary'!Z21/AA$34*1000000000</f>
        <v>224.30288017196963</v>
      </c>
      <c r="AB23" s="371">
        <f>'GPI Summary'!AA21/AB$34*1000000000</f>
        <v>240.64907151480546</v>
      </c>
      <c r="AC23" s="371">
        <f>'GPI Summary'!AB21/AC$34*1000000000</f>
        <v>231.92751349779638</v>
      </c>
      <c r="AD23" s="371">
        <f>'GPI Summary'!AC21/AD$34*1000000000</f>
        <v>230.04907210811541</v>
      </c>
      <c r="AE23" s="371">
        <f>'GPI Summary'!AD21/AE$34*1000000000</f>
        <v>222.60155856131263</v>
      </c>
      <c r="AF23" s="371">
        <f>'GPI Summary'!AE21/AF$34*1000000000</f>
        <v>248.74530972165246</v>
      </c>
      <c r="AG23" s="371">
        <f>'GPI Summary'!AF21/AG$34*1000000000</f>
        <v>233.13181128130194</v>
      </c>
      <c r="AH23" s="371">
        <f>'GPI Summary'!AG21/AH$34*1000000000</f>
        <v>203.75429023285463</v>
      </c>
      <c r="AI23" s="371">
        <f>'GPI Summary'!AH21/AI$34*1000000000</f>
        <v>211.66553589682582</v>
      </c>
      <c r="AJ23" s="371">
        <f>'GPI Summary'!AI21/AJ$34*1000000000</f>
        <v>201.99093052762817</v>
      </c>
      <c r="AK23" s="371">
        <f>'GPI Summary'!AJ21/AK$34*1000000000</f>
        <v>212.26561913415219</v>
      </c>
      <c r="AL23" s="371">
        <f>'GPI Summary'!AK21/AL$34*1000000000</f>
        <v>199.69808168462691</v>
      </c>
      <c r="AM23" s="371">
        <f>'GPI Summary'!AL21/AM$34*1000000000</f>
        <v>224.09942144810665</v>
      </c>
      <c r="AN23" s="371">
        <f>'GPI Summary'!AM21/AN$34*1000000000</f>
        <v>266.38416638300851</v>
      </c>
      <c r="AO23" s="371">
        <f>'GPI Summary'!AN21/AO$34*1000000000</f>
        <v>218.2645274949644</v>
      </c>
      <c r="AP23" s="371">
        <f>'GPI Summary'!AO21/AP$34*1000000000</f>
        <v>196.93480308273411</v>
      </c>
      <c r="AQ23" s="371">
        <f>'GPI Summary'!AP21/AQ$34*1000000000</f>
        <v>215.02301215497809</v>
      </c>
      <c r="AR23" s="371">
        <f>'GPI Summary'!AQ21/AR$34*1000000000</f>
        <v>201.36464273062882</v>
      </c>
      <c r="AS23" s="371">
        <f>'GPI Summary'!AR21/AS$34*1000000000</f>
        <v>214.31837312000184</v>
      </c>
      <c r="AT23" s="371">
        <f>'GPI Summary'!AS21/AT$34*1000000000</f>
        <v>236.73870470887775</v>
      </c>
      <c r="AU23" s="371">
        <f>'GPI Summary'!AT21/AU$34*1000000000</f>
        <v>201.65051371213525</v>
      </c>
      <c r="AV23" s="371">
        <f>'GPI Summary'!AU21/AV$34*1000000000</f>
        <v>215.81287532809554</v>
      </c>
      <c r="AW23" s="371">
        <f>'GPI Summary'!AV21/AW$34*1000000000</f>
        <v>229.4195082805206</v>
      </c>
      <c r="AX23" s="371">
        <f>'GPI Summary'!AW21/AX$34*1000000000</f>
        <v>221.0426242518871</v>
      </c>
      <c r="AY23" s="371">
        <f>'GPI Summary'!AX21/AY$34*1000000000</f>
        <v>229.37483142507145</v>
      </c>
      <c r="AZ23" s="371">
        <f>'GPI Summary'!AY21/AZ$34*1000000000</f>
        <v>266.35364816055062</v>
      </c>
      <c r="BA23" s="371">
        <f>'GPI Summary'!AZ21/BA$34*1000000000</f>
        <v>204.20604563616993</v>
      </c>
      <c r="BB23" s="371">
        <f>'GPI Summary'!BA21/BB$34*1000000000</f>
        <v>251.67227684556872</v>
      </c>
    </row>
    <row r="24" spans="1:54" x14ac:dyDescent="0.2">
      <c r="A24" s="7">
        <v>19</v>
      </c>
      <c r="B24" s="7" t="s">
        <v>124</v>
      </c>
      <c r="C24" s="385" t="s">
        <v>1017</v>
      </c>
      <c r="D24" s="371">
        <f>'GPI Summary'!C22/D$34*1000000000</f>
        <v>249.80055984261332</v>
      </c>
      <c r="E24" s="371">
        <f>'GPI Summary'!D22/E$34*1000000000</f>
        <v>310.09080081901635</v>
      </c>
      <c r="F24" s="371">
        <f>'GPI Summary'!E22/F$34*1000000000</f>
        <v>292.41563523333247</v>
      </c>
      <c r="G24" s="371">
        <f>'GPI Summary'!F22/G$34*1000000000</f>
        <v>319.07539001721733</v>
      </c>
      <c r="H24" s="371">
        <f>'GPI Summary'!G22/H$34*1000000000</f>
        <v>311.15493672812266</v>
      </c>
      <c r="I24" s="371">
        <f>'GPI Summary'!H22/I$34*1000000000</f>
        <v>252.43330933715441</v>
      </c>
      <c r="J24" s="371">
        <f>'GPI Summary'!I22/J$34*1000000000</f>
        <v>208.32690048077691</v>
      </c>
      <c r="K24" s="371">
        <f>'GPI Summary'!J22/K$34*1000000000</f>
        <v>185.8507741678811</v>
      </c>
      <c r="L24" s="371">
        <f>'GPI Summary'!K22/L$34*1000000000</f>
        <v>297.76651508836227</v>
      </c>
      <c r="M24" s="371">
        <f>'GPI Summary'!L22/M$34*1000000000</f>
        <v>284.44666828376018</v>
      </c>
      <c r="N24" s="371">
        <f>'GPI Summary'!M22/N$34*1000000000</f>
        <v>279.79963962533355</v>
      </c>
      <c r="O24" s="371">
        <f>'GPI Summary'!N22/O$34*1000000000</f>
        <v>141.25228972853776</v>
      </c>
      <c r="P24" s="371">
        <f>'GPI Summary'!O22/P$34*1000000000</f>
        <v>142.2537521918315</v>
      </c>
      <c r="Q24" s="371">
        <f>'GPI Summary'!P22/Q$34*1000000000</f>
        <v>288.48356998463896</v>
      </c>
      <c r="R24" s="371">
        <f>'GPI Summary'!Q22/R$34*1000000000</f>
        <v>245.97589370420849</v>
      </c>
      <c r="S24" s="371">
        <f>'GPI Summary'!R22/S$34*1000000000</f>
        <v>131.65130041033296</v>
      </c>
      <c r="T24" s="371">
        <f>'GPI Summary'!S22/T$34*1000000000</f>
        <v>237.46879730952563</v>
      </c>
      <c r="U24" s="371">
        <f>'GPI Summary'!T22/U$34*1000000000</f>
        <v>200.80193644769389</v>
      </c>
      <c r="V24" s="371">
        <f>'GPI Summary'!U22/V$34*1000000000</f>
        <v>467.16397857499169</v>
      </c>
      <c r="W24" s="371">
        <f>'GPI Summary'!V22/W$34*1000000000</f>
        <v>130.88501753024363</v>
      </c>
      <c r="X24" s="371">
        <f>'GPI Summary'!W22/X$34*1000000000</f>
        <v>318.9589863701313</v>
      </c>
      <c r="Y24" s="371">
        <f>'GPI Summary'!X22/Y$34*1000000000</f>
        <v>188.08127494936809</v>
      </c>
      <c r="Z24" s="371">
        <f>'GPI Summary'!Y22/Z$34*1000000000</f>
        <v>322.82518650167196</v>
      </c>
      <c r="AA24" s="371">
        <f>'GPI Summary'!Z22/AA$34*1000000000</f>
        <v>140.04946230925185</v>
      </c>
      <c r="AB24" s="371">
        <f>'GPI Summary'!AA22/AB$34*1000000000</f>
        <v>333.18600929188904</v>
      </c>
      <c r="AC24" s="371">
        <f>'GPI Summary'!AB22/AC$34*1000000000</f>
        <v>300.3102287612183</v>
      </c>
      <c r="AD24" s="371">
        <f>'GPI Summary'!AC22/AD$34*1000000000</f>
        <v>184.76462526163533</v>
      </c>
      <c r="AE24" s="371">
        <f>'GPI Summary'!AD22/AE$34*1000000000</f>
        <v>213.71610224645727</v>
      </c>
      <c r="AF24" s="371">
        <f>'GPI Summary'!AE22/AF$34*1000000000</f>
        <v>297.20480700650876</v>
      </c>
      <c r="AG24" s="371">
        <f>'GPI Summary'!AF22/AG$34*1000000000</f>
        <v>134.75508040069602</v>
      </c>
      <c r="AH24" s="371">
        <f>'GPI Summary'!AG22/AH$34*1000000000</f>
        <v>202.41785801591055</v>
      </c>
      <c r="AI24" s="371">
        <f>'GPI Summary'!AH22/AI$34*1000000000</f>
        <v>385.78328107250104</v>
      </c>
      <c r="AJ24" s="371">
        <f>'GPI Summary'!AI22/AJ$34*1000000000</f>
        <v>197.1175543723453</v>
      </c>
      <c r="AK24" s="371">
        <f>'GPI Summary'!AJ22/AK$34*1000000000</f>
        <v>257.67218038348574</v>
      </c>
      <c r="AL24" s="371">
        <f>'GPI Summary'!AK22/AL$34*1000000000</f>
        <v>200.08572620702751</v>
      </c>
      <c r="AM24" s="371">
        <f>'GPI Summary'!AL22/AM$34*1000000000</f>
        <v>238.22585211657002</v>
      </c>
      <c r="AN24" s="371">
        <f>'GPI Summary'!AM22/AN$34*1000000000</f>
        <v>307.74440774377319</v>
      </c>
      <c r="AO24" s="371">
        <f>'GPI Summary'!AN22/AO$34*1000000000</f>
        <v>164.41429405216186</v>
      </c>
      <c r="AP24" s="371">
        <f>'GPI Summary'!AO22/AP$34*1000000000</f>
        <v>243.95370190423719</v>
      </c>
      <c r="AQ24" s="371">
        <f>'GPI Summary'!AP22/AQ$34*1000000000</f>
        <v>153.13422244990221</v>
      </c>
      <c r="AR24" s="371">
        <f>'GPI Summary'!AQ22/AR$34*1000000000</f>
        <v>362.95054624089619</v>
      </c>
      <c r="AS24" s="371">
        <f>'GPI Summary'!AR22/AS$34*1000000000</f>
        <v>192.51795091629</v>
      </c>
      <c r="AT24" s="371">
        <f>'GPI Summary'!AS22/AT$34*1000000000</f>
        <v>327.54292970709815</v>
      </c>
      <c r="AU24" s="371">
        <f>'GPI Summary'!AT22/AU$34*1000000000</f>
        <v>252.8249636150758</v>
      </c>
      <c r="AV24" s="371">
        <f>'GPI Summary'!AU22/AV$34*1000000000</f>
        <v>144.16487737521348</v>
      </c>
      <c r="AW24" s="371">
        <f>'GPI Summary'!AV22/AW$34*1000000000</f>
        <v>120.72043076100556</v>
      </c>
      <c r="AX24" s="371">
        <f>'GPI Summary'!AW22/AX$34*1000000000</f>
        <v>178.36221095436738</v>
      </c>
      <c r="AY24" s="371">
        <f>'GPI Summary'!AX22/AY$34*1000000000</f>
        <v>191.29735146325069</v>
      </c>
      <c r="AZ24" s="371">
        <f>'GPI Summary'!AY22/AZ$34*1000000000</f>
        <v>221.02478120251783</v>
      </c>
      <c r="BA24" s="371">
        <f>'GPI Summary'!AZ22/BA$34*1000000000</f>
        <v>149.83151274711057</v>
      </c>
      <c r="BB24" s="371">
        <f>'GPI Summary'!BA22/BB$34*1000000000</f>
        <v>169.82532387037418</v>
      </c>
    </row>
    <row r="25" spans="1:54" x14ac:dyDescent="0.2">
      <c r="A25" s="7">
        <v>20</v>
      </c>
      <c r="B25" s="7" t="s">
        <v>125</v>
      </c>
      <c r="C25" s="385" t="s">
        <v>1017</v>
      </c>
      <c r="D25" s="371">
        <f>'GPI Summary'!C23/D$34*1000000000</f>
        <v>238.82690093621923</v>
      </c>
      <c r="E25" s="371">
        <f>'GPI Summary'!D23/E$34*1000000000</f>
        <v>212.75164468643382</v>
      </c>
      <c r="F25" s="371">
        <f>'GPI Summary'!E23/F$34*1000000000</f>
        <v>227.1283127845885</v>
      </c>
      <c r="G25" s="371">
        <f>'GPI Summary'!F23/G$34*1000000000</f>
        <v>268.58625831087841</v>
      </c>
      <c r="H25" s="371">
        <f>'GPI Summary'!G23/H$34*1000000000</f>
        <v>234.99466062475958</v>
      </c>
      <c r="I25" s="371">
        <f>'GPI Summary'!H23/I$34*1000000000</f>
        <v>225.66841318051613</v>
      </c>
      <c r="J25" s="371">
        <f>'GPI Summary'!I23/J$34*1000000000</f>
        <v>262.41711175262117</v>
      </c>
      <c r="K25" s="371">
        <f>'GPI Summary'!J23/K$34*1000000000</f>
        <v>213.64811349941161</v>
      </c>
      <c r="L25" s="371">
        <f>'GPI Summary'!K23/L$34*1000000000</f>
        <v>265.75524169458885</v>
      </c>
      <c r="M25" s="371">
        <f>'GPI Summary'!L23/M$34*1000000000</f>
        <v>258.70604553750439</v>
      </c>
      <c r="N25" s="371">
        <f>'GPI Summary'!M23/N$34*1000000000</f>
        <v>205.67066665046886</v>
      </c>
      <c r="O25" s="371">
        <f>'GPI Summary'!N23/O$34*1000000000</f>
        <v>249.64194688996389</v>
      </c>
      <c r="P25" s="371">
        <f>'GPI Summary'!O23/P$34*1000000000</f>
        <v>247.63066229325389</v>
      </c>
      <c r="Q25" s="371">
        <f>'GPI Summary'!P23/Q$34*1000000000</f>
        <v>249.81169135485459</v>
      </c>
      <c r="R25" s="371">
        <f>'GPI Summary'!Q23/R$34*1000000000</f>
        <v>232.65318250262837</v>
      </c>
      <c r="S25" s="371">
        <f>'GPI Summary'!R23/S$34*1000000000</f>
        <v>251.15223493222857</v>
      </c>
      <c r="T25" s="371">
        <f>'GPI Summary'!S23/T$34*1000000000</f>
        <v>246.87677887080943</v>
      </c>
      <c r="U25" s="371">
        <f>'GPI Summary'!T23/U$34*1000000000</f>
        <v>210.3911267787507</v>
      </c>
      <c r="V25" s="371">
        <f>'GPI Summary'!U23/V$34*1000000000</f>
        <v>233.98904923029284</v>
      </c>
      <c r="W25" s="371">
        <f>'GPI Summary'!V23/W$34*1000000000</f>
        <v>227.80052694644166</v>
      </c>
      <c r="X25" s="371">
        <f>'GPI Summary'!W23/X$34*1000000000</f>
        <v>220.18176708232377</v>
      </c>
      <c r="Y25" s="371">
        <f>'GPI Summary'!X23/Y$34*1000000000</f>
        <v>239.27345446632751</v>
      </c>
      <c r="Z25" s="371">
        <f>'GPI Summary'!Y23/Z$34*1000000000</f>
        <v>235.38732843537102</v>
      </c>
      <c r="AA25" s="371">
        <f>'GPI Summary'!Z23/AA$34*1000000000</f>
        <v>238.18912050345187</v>
      </c>
      <c r="AB25" s="371">
        <f>'GPI Summary'!AA23/AB$34*1000000000</f>
        <v>204.27957150576881</v>
      </c>
      <c r="AC25" s="371">
        <f>'GPI Summary'!AB23/AC$34*1000000000</f>
        <v>241.1328891158056</v>
      </c>
      <c r="AD25" s="371">
        <f>'GPI Summary'!AC23/AD$34*1000000000</f>
        <v>284.97927750165491</v>
      </c>
      <c r="AE25" s="371">
        <f>'GPI Summary'!AD23/AE$34*1000000000</f>
        <v>258.17836200775542</v>
      </c>
      <c r="AF25" s="371">
        <f>'GPI Summary'!AE23/AF$34*1000000000</f>
        <v>302.11821169206661</v>
      </c>
      <c r="AG25" s="371">
        <f>'GPI Summary'!AF23/AG$34*1000000000</f>
        <v>212.50718973058909</v>
      </c>
      <c r="AH25" s="371">
        <f>'GPI Summary'!AG23/AH$34*1000000000</f>
        <v>269.2339250816587</v>
      </c>
      <c r="AI25" s="371">
        <f>'GPI Summary'!AH23/AI$34*1000000000</f>
        <v>199.17374490729006</v>
      </c>
      <c r="AJ25" s="371">
        <f>'GPI Summary'!AI23/AJ$34*1000000000</f>
        <v>252.02878150865021</v>
      </c>
      <c r="AK25" s="371">
        <f>'GPI Summary'!AJ23/AK$34*1000000000</f>
        <v>206.49710411917931</v>
      </c>
      <c r="AL25" s="371">
        <f>'GPI Summary'!AK23/AL$34*1000000000</f>
        <v>264.35451186849451</v>
      </c>
      <c r="AM25" s="371">
        <f>'GPI Summary'!AL23/AM$34*1000000000</f>
        <v>251.00719596446879</v>
      </c>
      <c r="AN25" s="371">
        <f>'GPI Summary'!AM23/AN$34*1000000000</f>
        <v>242.80063568662041</v>
      </c>
      <c r="AO25" s="371">
        <f>'GPI Summary'!AN23/AO$34*1000000000</f>
        <v>233.76737309230629</v>
      </c>
      <c r="AP25" s="371">
        <f>'GPI Summary'!AO23/AP$34*1000000000</f>
        <v>239.66468067874263</v>
      </c>
      <c r="AQ25" s="371">
        <f>'GPI Summary'!AP23/AQ$34*1000000000</f>
        <v>251.3425213781311</v>
      </c>
      <c r="AR25" s="371">
        <f>'GPI Summary'!AQ23/AR$34*1000000000</f>
        <v>225.64503358102687</v>
      </c>
      <c r="AS25" s="371">
        <f>'GPI Summary'!AR23/AS$34*1000000000</f>
        <v>254.04761992038331</v>
      </c>
      <c r="AT25" s="371">
        <f>'GPI Summary'!AS23/AT$34*1000000000</f>
        <v>220.06178997532416</v>
      </c>
      <c r="AU25" s="371">
        <f>'GPI Summary'!AT23/AU$34*1000000000</f>
        <v>248.8601274267489</v>
      </c>
      <c r="AV25" s="371">
        <f>'GPI Summary'!AU23/AV$34*1000000000</f>
        <v>186.80953731673927</v>
      </c>
      <c r="AW25" s="371">
        <f>'GPI Summary'!AV23/AW$34*1000000000</f>
        <v>212.73368106489067</v>
      </c>
      <c r="AX25" s="371">
        <f>'GPI Summary'!AW23/AX$34*1000000000</f>
        <v>238.22801659985774</v>
      </c>
      <c r="AY25" s="371">
        <f>'GPI Summary'!AX23/AY$34*1000000000</f>
        <v>249.64852061326189</v>
      </c>
      <c r="AZ25" s="371">
        <f>'GPI Summary'!AY23/AZ$34*1000000000</f>
        <v>210.57047798267459</v>
      </c>
      <c r="BA25" s="371">
        <f>'GPI Summary'!AZ23/BA$34*1000000000</f>
        <v>245.8039943981683</v>
      </c>
      <c r="BB25" s="371">
        <f>'GPI Summary'!BA23/BB$34*1000000000</f>
        <v>295.647652395862</v>
      </c>
    </row>
    <row r="26" spans="1:54" x14ac:dyDescent="0.2">
      <c r="A26" s="7">
        <v>21</v>
      </c>
      <c r="B26" s="7" t="s">
        <v>1021</v>
      </c>
      <c r="C26" s="385" t="s">
        <v>1017</v>
      </c>
      <c r="D26" s="371">
        <f>'GPI Summary'!C24/D$34*1000000000</f>
        <v>569.05131109365198</v>
      </c>
      <c r="E26" s="371">
        <f>'GPI Summary'!D24/E$34*1000000000</f>
        <v>496.963970785105</v>
      </c>
      <c r="F26" s="371">
        <f>'GPI Summary'!E24/F$34*1000000000</f>
        <v>634.51953354771115</v>
      </c>
      <c r="G26" s="371">
        <f>'GPI Summary'!F24/G$34*1000000000</f>
        <v>542.90384387693814</v>
      </c>
      <c r="H26" s="371">
        <f>'GPI Summary'!G24/H$34*1000000000</f>
        <v>455.51210507345445</v>
      </c>
      <c r="I26" s="371">
        <f>'GPI Summary'!H24/I$34*1000000000</f>
        <v>650.85979456502616</v>
      </c>
      <c r="J26" s="371">
        <f>'GPI Summary'!I24/J$34*1000000000</f>
        <v>596.59827866565615</v>
      </c>
      <c r="K26" s="371">
        <f>'GPI Summary'!J24/K$34*1000000000</f>
        <v>678.90139587233637</v>
      </c>
      <c r="L26" s="371">
        <f>'GPI Summary'!K24/L$34*1000000000</f>
        <v>606.52720702361853</v>
      </c>
      <c r="M26" s="371">
        <f>'GPI Summary'!L24/M$34*1000000000</f>
        <v>530.27529488876701</v>
      </c>
      <c r="N26" s="371">
        <f>'GPI Summary'!M24/N$34*1000000000</f>
        <v>527.70471952678417</v>
      </c>
      <c r="O26" s="371">
        <f>'GPI Summary'!N24/O$34*1000000000</f>
        <v>572.20979503035267</v>
      </c>
      <c r="P26" s="371">
        <f>'GPI Summary'!O24/P$34*1000000000</f>
        <v>467.70594416070156</v>
      </c>
      <c r="Q26" s="371">
        <f>'GPI Summary'!P24/Q$34*1000000000</f>
        <v>586.559233507111</v>
      </c>
      <c r="R26" s="371">
        <f>'GPI Summary'!Q24/R$34*1000000000</f>
        <v>497.45488992639577</v>
      </c>
      <c r="S26" s="371">
        <f>'GPI Summary'!R24/S$34*1000000000</f>
        <v>490.66299631920674</v>
      </c>
      <c r="T26" s="371">
        <f>'GPI Summary'!S24/T$34*1000000000</f>
        <v>496.85609623952223</v>
      </c>
      <c r="U26" s="371">
        <f>'GPI Summary'!T24/U$34*1000000000</f>
        <v>489.06732750520354</v>
      </c>
      <c r="V26" s="371">
        <f>'GPI Summary'!U24/V$34*1000000000</f>
        <v>485.27285743139646</v>
      </c>
      <c r="W26" s="371">
        <f>'GPI Summary'!V24/W$34*1000000000</f>
        <v>526.92332943201222</v>
      </c>
      <c r="X26" s="371">
        <f>'GPI Summary'!W24/X$34*1000000000</f>
        <v>660.26456724070908</v>
      </c>
      <c r="Y26" s="371">
        <f>'GPI Summary'!X24/Y$34*1000000000</f>
        <v>711.1390390921631</v>
      </c>
      <c r="Z26" s="371">
        <f>'GPI Summary'!Y24/Z$34*1000000000</f>
        <v>556.90481962382205</v>
      </c>
      <c r="AA26" s="371">
        <f>'GPI Summary'!Z24/AA$34*1000000000</f>
        <v>581.53349331714026</v>
      </c>
      <c r="AB26" s="371">
        <f>'GPI Summary'!AA24/AB$34*1000000000</f>
        <v>431.24092713694432</v>
      </c>
      <c r="AC26" s="371">
        <f>'GPI Summary'!AB24/AC$34*1000000000</f>
        <v>512.82069072853767</v>
      </c>
      <c r="AD26" s="371">
        <f>'GPI Summary'!AC24/AD$34*1000000000</f>
        <v>472.71240585632427</v>
      </c>
      <c r="AE26" s="371">
        <f>'GPI Summary'!AD24/AE$34*1000000000</f>
        <v>486.44824734273305</v>
      </c>
      <c r="AF26" s="371">
        <f>'GPI Summary'!AE24/AF$34*1000000000</f>
        <v>524.82978217963205</v>
      </c>
      <c r="AG26" s="371">
        <f>'GPI Summary'!AF24/AG$34*1000000000</f>
        <v>588.31610715100635</v>
      </c>
      <c r="AH26" s="371">
        <f>'GPI Summary'!AG24/AH$34*1000000000</f>
        <v>656.3049965403751</v>
      </c>
      <c r="AI26" s="371">
        <f>'GPI Summary'!AH24/AI$34*1000000000</f>
        <v>507.3439878693747</v>
      </c>
      <c r="AJ26" s="371">
        <f>'GPI Summary'!AI24/AJ$34*1000000000</f>
        <v>680.90331257626985</v>
      </c>
      <c r="AK26" s="371">
        <f>'GPI Summary'!AJ24/AK$34*1000000000</f>
        <v>519.73218302293844</v>
      </c>
      <c r="AL26" s="371">
        <f>'GPI Summary'!AK24/AL$34*1000000000</f>
        <v>497.97133682127537</v>
      </c>
      <c r="AM26" s="371">
        <f>'GPI Summary'!AL24/AM$34*1000000000</f>
        <v>528.14930771247327</v>
      </c>
      <c r="AN26" s="371">
        <f>'GPI Summary'!AM24/AN$34*1000000000</f>
        <v>475.94157814117995</v>
      </c>
      <c r="AO26" s="371">
        <f>'GPI Summary'!AN24/AO$34*1000000000</f>
        <v>567.24953450684177</v>
      </c>
      <c r="AP26" s="371">
        <f>'GPI Summary'!AO24/AP$34*1000000000</f>
        <v>570.2540382467231</v>
      </c>
      <c r="AQ26" s="371">
        <f>'GPI Summary'!AP24/AQ$34*1000000000</f>
        <v>618.35045715601132</v>
      </c>
      <c r="AR26" s="371">
        <f>'GPI Summary'!AQ24/AR$34*1000000000</f>
        <v>489.06356882606525</v>
      </c>
      <c r="AS26" s="371">
        <f>'GPI Summary'!AR24/AS$34*1000000000</f>
        <v>442.40635382392014</v>
      </c>
      <c r="AT26" s="371">
        <f>'GPI Summary'!AS24/AT$34*1000000000</f>
        <v>496.45280169382983</v>
      </c>
      <c r="AU26" s="371">
        <f>'GPI Summary'!AT24/AU$34*1000000000</f>
        <v>523.18005306742282</v>
      </c>
      <c r="AV26" s="371">
        <f>'GPI Summary'!AU24/AV$34*1000000000</f>
        <v>471.75890108789008</v>
      </c>
      <c r="AW26" s="371">
        <f>'GPI Summary'!AV24/AW$34*1000000000</f>
        <v>567.18888800294042</v>
      </c>
      <c r="AX26" s="371">
        <f>'GPI Summary'!AW24/AX$34*1000000000</f>
        <v>622.31781845942896</v>
      </c>
      <c r="AY26" s="371">
        <f>'GPI Summary'!AX24/AY$34*1000000000</f>
        <v>638.31744352082376</v>
      </c>
      <c r="AZ26" s="371">
        <f>'GPI Summary'!AY24/AZ$34*1000000000</f>
        <v>471.39954442380815</v>
      </c>
      <c r="BA26" s="371">
        <f>'GPI Summary'!AZ24/BA$34*1000000000</f>
        <v>526.49675278708014</v>
      </c>
      <c r="BB26" s="371">
        <f>'GPI Summary'!BA24/BB$34*1000000000</f>
        <v>534.52037489468694</v>
      </c>
    </row>
    <row r="27" spans="1:54" x14ac:dyDescent="0.2">
      <c r="A27" s="7">
        <v>22</v>
      </c>
      <c r="B27" s="7" t="s">
        <v>126</v>
      </c>
      <c r="C27" s="385" t="s">
        <v>1017</v>
      </c>
      <c r="D27" s="371">
        <f>'GPI Summary'!C25/D$34*1000000000</f>
        <v>2215.9450329050328</v>
      </c>
      <c r="E27" s="371">
        <f>'GPI Summary'!D25/E$34*1000000000</f>
        <v>1765.7104716424508</v>
      </c>
      <c r="F27" s="371">
        <f>'GPI Summary'!E25/F$34*1000000000</f>
        <v>2654.1704260794295</v>
      </c>
      <c r="G27" s="371">
        <f>'GPI Summary'!F25/G$34*1000000000</f>
        <v>1991.4985636392175</v>
      </c>
      <c r="H27" s="371">
        <f>'GPI Summary'!G25/H$34*1000000000</f>
        <v>1696.2951238021201</v>
      </c>
      <c r="I27" s="371">
        <f>'GPI Summary'!H25/I$34*1000000000</f>
        <v>2361.6891932141225</v>
      </c>
      <c r="J27" s="371">
        <f>'GPI Summary'!I25/J$34*1000000000</f>
        <v>2535.3324117554807</v>
      </c>
      <c r="K27" s="371">
        <f>'GPI Summary'!J25/K$34*1000000000</f>
        <v>2803.7702508633993</v>
      </c>
      <c r="L27" s="371">
        <f>'GPI Summary'!K25/L$34*1000000000</f>
        <v>2341.9175891716441</v>
      </c>
      <c r="M27" s="371">
        <f>'GPI Summary'!L25/M$34*1000000000</f>
        <v>1924.1658768735776</v>
      </c>
      <c r="N27" s="371">
        <f>'GPI Summary'!M25/N$34*1000000000</f>
        <v>2015.8786035776973</v>
      </c>
      <c r="O27" s="371">
        <f>'GPI Summary'!N25/O$34*1000000000</f>
        <v>2128.0383308409032</v>
      </c>
      <c r="P27" s="371">
        <f>'GPI Summary'!O25/P$34*1000000000</f>
        <v>1844.117157312978</v>
      </c>
      <c r="Q27" s="371">
        <f>'GPI Summary'!P25/Q$34*1000000000</f>
        <v>2330.7619772710314</v>
      </c>
      <c r="R27" s="371">
        <f>'GPI Summary'!Q25/R$34*1000000000</f>
        <v>1920.8837795268907</v>
      </c>
      <c r="S27" s="371">
        <f>'GPI Summary'!R25/S$34*1000000000</f>
        <v>2208.7520211965893</v>
      </c>
      <c r="T27" s="371">
        <f>'GPI Summary'!S25/T$34*1000000000</f>
        <v>2165.0867828858386</v>
      </c>
      <c r="U27" s="371">
        <f>'GPI Summary'!T25/U$34*1000000000</f>
        <v>1828.9849712648663</v>
      </c>
      <c r="V27" s="371">
        <f>'GPI Summary'!U25/V$34*1000000000</f>
        <v>1789.5410036132439</v>
      </c>
      <c r="W27" s="371">
        <f>'GPI Summary'!V25/W$34*1000000000</f>
        <v>2136.9129429231534</v>
      </c>
      <c r="X27" s="371">
        <f>'GPI Summary'!W25/X$34*1000000000</f>
        <v>2835.9268366941337</v>
      </c>
      <c r="Y27" s="371">
        <f>'GPI Summary'!X25/Y$34*1000000000</f>
        <v>2903.3672380070125</v>
      </c>
      <c r="Z27" s="371">
        <f>'GPI Summary'!Y25/Z$34*1000000000</f>
        <v>1983.5271462915043</v>
      </c>
      <c r="AA27" s="371">
        <f>'GPI Summary'!Z25/AA$34*1000000000</f>
        <v>2634.9498637856232</v>
      </c>
      <c r="AB27" s="371">
        <f>'GPI Summary'!AA25/AB$34*1000000000</f>
        <v>1531.4722500758778</v>
      </c>
      <c r="AC27" s="371">
        <f>'GPI Summary'!AB25/AC$34*1000000000</f>
        <v>2053.2385700324203</v>
      </c>
      <c r="AD27" s="371">
        <f>'GPI Summary'!AC25/AD$34*1000000000</f>
        <v>1843.2089646934296</v>
      </c>
      <c r="AE27" s="371">
        <f>'GPI Summary'!AD25/AE$34*1000000000</f>
        <v>2293.8366477667082</v>
      </c>
      <c r="AF27" s="371">
        <f>'GPI Summary'!AE25/AF$34*1000000000</f>
        <v>1954.1903182231581</v>
      </c>
      <c r="AG27" s="371">
        <f>'GPI Summary'!AF25/AG$34*1000000000</f>
        <v>2651.813147745424</v>
      </c>
      <c r="AH27" s="371">
        <f>'GPI Summary'!AG25/AH$34*1000000000</f>
        <v>2622.3540032612045</v>
      </c>
      <c r="AI27" s="371">
        <f>'GPI Summary'!AH25/AI$34*1000000000</f>
        <v>1824.6075397352349</v>
      </c>
      <c r="AJ27" s="371">
        <f>'GPI Summary'!AI25/AJ$34*1000000000</f>
        <v>2612.5291190289058</v>
      </c>
      <c r="AK27" s="371">
        <f>'GPI Summary'!AJ25/AK$34*1000000000</f>
        <v>1928.922120807408</v>
      </c>
      <c r="AL27" s="371">
        <f>'GPI Summary'!AK25/AL$34*1000000000</f>
        <v>2406.3509565850181</v>
      </c>
      <c r="AM27" s="371">
        <f>'GPI Summary'!AL25/AM$34*1000000000</f>
        <v>2099.322139222917</v>
      </c>
      <c r="AN27" s="371">
        <f>'GPI Summary'!AM25/AN$34*1000000000</f>
        <v>1889.4602253530775</v>
      </c>
      <c r="AO27" s="371">
        <f>'GPI Summary'!AN25/AO$34*1000000000</f>
        <v>2192.4467141988684</v>
      </c>
      <c r="AP27" s="371">
        <f>'GPI Summary'!AO25/AP$34*1000000000</f>
        <v>2247.1030867433115</v>
      </c>
      <c r="AQ27" s="371">
        <f>'GPI Summary'!AP25/AQ$34*1000000000</f>
        <v>2436.7795782097869</v>
      </c>
      <c r="AR27" s="371">
        <f>'GPI Summary'!AQ25/AR$34*1000000000</f>
        <v>1735.4582215266857</v>
      </c>
      <c r="AS27" s="371">
        <f>'GPI Summary'!AR25/AS$34*1000000000</f>
        <v>2041.9573308468421</v>
      </c>
      <c r="AT27" s="371">
        <f>'GPI Summary'!AS25/AT$34*1000000000</f>
        <v>1901.0468652242839</v>
      </c>
      <c r="AU27" s="371">
        <f>'GPI Summary'!AT25/AU$34*1000000000</f>
        <v>2131.5151648981641</v>
      </c>
      <c r="AV27" s="371">
        <f>'GPI Summary'!AU25/AV$34*1000000000</f>
        <v>2014.127066654338</v>
      </c>
      <c r="AW27" s="371">
        <f>'GPI Summary'!AV25/AW$34*1000000000</f>
        <v>2569.1187327313473</v>
      </c>
      <c r="AX27" s="371">
        <f>'GPI Summary'!AW25/AX$34*1000000000</f>
        <v>2640.5950911000964</v>
      </c>
      <c r="AY27" s="371">
        <f>'GPI Summary'!AX25/AY$34*1000000000</f>
        <v>2482.0025978073018</v>
      </c>
      <c r="AZ27" s="371">
        <f>'GPI Summary'!AY25/AZ$34*1000000000</f>
        <v>1602.773045024662</v>
      </c>
      <c r="BA27" s="371">
        <f>'GPI Summary'!AZ25/BA$34*1000000000</f>
        <v>2253.6387375544396</v>
      </c>
      <c r="BB27" s="371">
        <f>'GPI Summary'!BA25/BB$34*1000000000</f>
        <v>2395.9569686796299</v>
      </c>
    </row>
    <row r="28" spans="1:54" x14ac:dyDescent="0.2">
      <c r="A28" s="7">
        <v>23</v>
      </c>
      <c r="B28" s="7" t="s">
        <v>1022</v>
      </c>
      <c r="C28" s="385" t="s">
        <v>1017</v>
      </c>
      <c r="D28" s="371">
        <f>'GPI Summary'!C26/D$34*1000000000</f>
        <v>3942.3862728965582</v>
      </c>
      <c r="E28" s="371">
        <f>'GPI Summary'!D26/E$34*1000000000</f>
        <v>3098.0697895435023</v>
      </c>
      <c r="F28" s="371">
        <f>'GPI Summary'!E26/F$34*1000000000</f>
        <v>3482.459495216865</v>
      </c>
      <c r="G28" s="371">
        <f>'GPI Summary'!F26/G$34*1000000000</f>
        <v>3620.0748524515475</v>
      </c>
      <c r="H28" s="371">
        <f>'GPI Summary'!G26/H$34*1000000000</f>
        <v>2805.9384788231396</v>
      </c>
      <c r="I28" s="371">
        <f>'GPI Summary'!H26/I$34*1000000000</f>
        <v>4107.7886934635017</v>
      </c>
      <c r="J28" s="371">
        <f>'GPI Summary'!I26/J$34*1000000000</f>
        <v>5078.2786297838156</v>
      </c>
      <c r="K28" s="371">
        <f>'GPI Summary'!J26/K$34*1000000000</f>
        <v>5156.2736297874517</v>
      </c>
      <c r="L28" s="371">
        <f>'GPI Summary'!K26/L$34*1000000000</f>
        <v>4050.5994851719506</v>
      </c>
      <c r="M28" s="371">
        <f>'GPI Summary'!L26/M$34*1000000000</f>
        <v>3749.1540708084544</v>
      </c>
      <c r="N28" s="371">
        <f>'GPI Summary'!M26/N$34*1000000000</f>
        <v>3708.8623406812721</v>
      </c>
      <c r="O28" s="371">
        <f>'GPI Summary'!N26/O$34*1000000000</f>
        <v>4146.2657822873762</v>
      </c>
      <c r="P28" s="371">
        <f>'GPI Summary'!O26/P$34*1000000000</f>
        <v>3320.4574395225491</v>
      </c>
      <c r="Q28" s="371">
        <f>'GPI Summary'!P26/Q$34*1000000000</f>
        <v>4293.4531143785971</v>
      </c>
      <c r="R28" s="371">
        <f>'GPI Summary'!Q26/R$34*1000000000</f>
        <v>3139.2169652945749</v>
      </c>
      <c r="S28" s="371">
        <f>'GPI Summary'!R26/S$34*1000000000</f>
        <v>3567.5140887651664</v>
      </c>
      <c r="T28" s="371">
        <f>'GPI Summary'!S26/T$34*1000000000</f>
        <v>4059.2042636343817</v>
      </c>
      <c r="U28" s="371">
        <f>'GPI Summary'!T26/U$34*1000000000</f>
        <v>2951.220634797131</v>
      </c>
      <c r="V28" s="371">
        <f>'GPI Summary'!U26/V$34*1000000000</f>
        <v>2865.6407739000902</v>
      </c>
      <c r="W28" s="371">
        <f>'GPI Summary'!V26/W$34*1000000000</f>
        <v>4211.0703252072026</v>
      </c>
      <c r="X28" s="371">
        <f>'GPI Summary'!W26/X$34*1000000000</f>
        <v>5171.3231753684295</v>
      </c>
      <c r="Y28" s="371">
        <f>'GPI Summary'!X26/Y$34*1000000000</f>
        <v>5568.4466511366318</v>
      </c>
      <c r="Z28" s="371">
        <f>'GPI Summary'!Y26/Z$34*1000000000</f>
        <v>3569.0308277392082</v>
      </c>
      <c r="AA28" s="371">
        <f>'GPI Summary'!Z26/AA$34*1000000000</f>
        <v>4509.3083467889555</v>
      </c>
      <c r="AB28" s="371">
        <f>'GPI Summary'!AA26/AB$34*1000000000</f>
        <v>2658.3983284419687</v>
      </c>
      <c r="AC28" s="371">
        <f>'GPI Summary'!AB26/AC$34*1000000000</f>
        <v>3638.9734496005381</v>
      </c>
      <c r="AD28" s="371">
        <f>'GPI Summary'!AC26/AD$34*1000000000</f>
        <v>3998.2601467852091</v>
      </c>
      <c r="AE28" s="371">
        <f>'GPI Summary'!AD26/AE$34*1000000000</f>
        <v>3786.0203693800463</v>
      </c>
      <c r="AF28" s="371">
        <f>'GPI Summary'!AE26/AF$34*1000000000</f>
        <v>3130.9035573016158</v>
      </c>
      <c r="AG28" s="371">
        <f>'GPI Summary'!AF26/AG$34*1000000000</f>
        <v>4842.7370426290645</v>
      </c>
      <c r="AH28" s="371">
        <f>'GPI Summary'!AG26/AH$34*1000000000</f>
        <v>5014.3658963825255</v>
      </c>
      <c r="AI28" s="371">
        <f>'GPI Summary'!AH26/AI$34*1000000000</f>
        <v>3485.648499485806</v>
      </c>
      <c r="AJ28" s="371">
        <f>'GPI Summary'!AI26/AJ$34*1000000000</f>
        <v>4653.453406425404</v>
      </c>
      <c r="AK28" s="371">
        <f>'GPI Summary'!AJ26/AK$34*1000000000</f>
        <v>3727.892300054054</v>
      </c>
      <c r="AL28" s="371">
        <f>'GPI Summary'!AK26/AL$34*1000000000</f>
        <v>3597.4957876786802</v>
      </c>
      <c r="AM28" s="371">
        <f>'GPI Summary'!AL26/AM$34*1000000000</f>
        <v>3466.2814656239198</v>
      </c>
      <c r="AN28" s="371">
        <f>'GPI Summary'!AM26/AN$34*1000000000</f>
        <v>3245.744841606579</v>
      </c>
      <c r="AO28" s="371">
        <f>'GPI Summary'!AN26/AO$34*1000000000</f>
        <v>4186.8983318101682</v>
      </c>
      <c r="AP28" s="371">
        <f>'GPI Summary'!AO26/AP$34*1000000000</f>
        <v>3858.6974652044241</v>
      </c>
      <c r="AQ28" s="371">
        <f>'GPI Summary'!AP26/AQ$34*1000000000</f>
        <v>4406.5416583975566</v>
      </c>
      <c r="AR28" s="371">
        <f>'GPI Summary'!AQ26/AR$34*1000000000</f>
        <v>3352.5501496432785</v>
      </c>
      <c r="AS28" s="371">
        <f>'GPI Summary'!AR26/AS$34*1000000000</f>
        <v>3587.9332629920846</v>
      </c>
      <c r="AT28" s="371">
        <f>'GPI Summary'!AS26/AT$34*1000000000</f>
        <v>3309.7855607839942</v>
      </c>
      <c r="AU28" s="371">
        <f>'GPI Summary'!AT26/AU$34*1000000000</f>
        <v>3460.2813401317007</v>
      </c>
      <c r="AV28" s="371">
        <f>'GPI Summary'!AU26/AV$34*1000000000</f>
        <v>3548.1087078967016</v>
      </c>
      <c r="AW28" s="371">
        <f>'GPI Summary'!AV26/AW$34*1000000000</f>
        <v>5132.2970809874369</v>
      </c>
      <c r="AX28" s="371">
        <f>'GPI Summary'!AW26/AX$34*1000000000</f>
        <v>4905.0726401048423</v>
      </c>
      <c r="AY28" s="371">
        <f>'GPI Summary'!AX26/AY$34*1000000000</f>
        <v>4478.5789027385908</v>
      </c>
      <c r="AZ28" s="371">
        <f>'GPI Summary'!AY26/AZ$34*1000000000</f>
        <v>2697.750410221855</v>
      </c>
      <c r="BA28" s="371">
        <f>'GPI Summary'!AZ26/BA$34*1000000000</f>
        <v>3716.446028743645</v>
      </c>
      <c r="BB28" s="371">
        <f>'GPI Summary'!BA26/BB$34*1000000000</f>
        <v>3417.65187985279</v>
      </c>
    </row>
    <row r="29" spans="1:54" x14ac:dyDescent="0.2">
      <c r="A29" s="7">
        <v>24</v>
      </c>
      <c r="B29" s="7" t="s">
        <v>1023</v>
      </c>
      <c r="C29" s="385" t="s">
        <v>1017</v>
      </c>
      <c r="D29" s="371">
        <f>'GPI Summary'!C27/D$34*1000000000</f>
        <v>754.71789449906328</v>
      </c>
      <c r="E29" s="371">
        <f>'GPI Summary'!D27/E$34*1000000000</f>
        <v>1218.5665727118851</v>
      </c>
      <c r="F29" s="371">
        <f>'GPI Summary'!E27/F$34*1000000000</f>
        <v>1326.3285769026165</v>
      </c>
      <c r="G29" s="371">
        <f>'GPI Summary'!F27/G$34*1000000000</f>
        <v>579.48668860366035</v>
      </c>
      <c r="H29" s="371">
        <f>'GPI Summary'!G27/H$34*1000000000</f>
        <v>1960.9116394093746</v>
      </c>
      <c r="I29" s="371">
        <f>'GPI Summary'!H27/I$34*1000000000</f>
        <v>263.10059549585583</v>
      </c>
      <c r="J29" s="371">
        <f>'GPI Summary'!I27/J$34*1000000000</f>
        <v>994.96921241142036</v>
      </c>
      <c r="K29" s="371">
        <f>'GPI Summary'!J27/K$34*1000000000</f>
        <v>344.24592041228351</v>
      </c>
      <c r="L29" s="371">
        <f>'GPI Summary'!K27/L$34*1000000000</f>
        <v>403.09648958275909</v>
      </c>
      <c r="M29" s="371">
        <f>'GPI Summary'!L27/M$34*1000000000</f>
        <v>367.3762536142969</v>
      </c>
      <c r="N29" s="371">
        <f>'GPI Summary'!M27/N$34*1000000000</f>
        <v>724.92095260937447</v>
      </c>
      <c r="O29" s="371">
        <f>'GPI Summary'!N27/O$34*1000000000</f>
        <v>184.03308396149845</v>
      </c>
      <c r="P29" s="371">
        <f>'GPI Summary'!O27/P$34*1000000000</f>
        <v>1765.1066438128396</v>
      </c>
      <c r="Q29" s="371">
        <f>'GPI Summary'!P27/Q$34*1000000000</f>
        <v>624.56155937133531</v>
      </c>
      <c r="R29" s="371">
        <f>'GPI Summary'!Q27/R$34*1000000000</f>
        <v>857.63479689088433</v>
      </c>
      <c r="S29" s="371">
        <f>'GPI Summary'!R27/S$34*1000000000</f>
        <v>2149.3840573510579</v>
      </c>
      <c r="T29" s="371">
        <f>'GPI Summary'!S27/T$34*1000000000</f>
        <v>2818.4844461544753</v>
      </c>
      <c r="U29" s="371">
        <f>'GPI Summary'!T27/U$34*1000000000</f>
        <v>1044.5050899015141</v>
      </c>
      <c r="V29" s="371">
        <f>'GPI Summary'!U27/V$34*1000000000</f>
        <v>775.70352373594187</v>
      </c>
      <c r="W29" s="371">
        <f>'GPI Summary'!V27/W$34*1000000000</f>
        <v>991.29389115430263</v>
      </c>
      <c r="X29" s="371">
        <f>'GPI Summary'!W27/X$34*1000000000</f>
        <v>318.67179096408228</v>
      </c>
      <c r="Y29" s="371">
        <f>'GPI Summary'!X27/Y$34*1000000000</f>
        <v>316.35483546058458</v>
      </c>
      <c r="Z29" s="371">
        <f>'GPI Summary'!Y27/Z$34*1000000000</f>
        <v>711.68578737411485</v>
      </c>
      <c r="AA29" s="371">
        <f>'GPI Summary'!Z27/AA$34*1000000000</f>
        <v>1493.438568174173</v>
      </c>
      <c r="AB29" s="371">
        <f>'GPI Summary'!AA27/AB$34*1000000000</f>
        <v>1452.5863535877145</v>
      </c>
      <c r="AC29" s="371">
        <f>'GPI Summary'!AB27/AC$34*1000000000</f>
        <v>1261.5794835744357</v>
      </c>
      <c r="AD29" s="371">
        <f>'GPI Summary'!AC27/AD$34*1000000000</f>
        <v>4321.3599177487149</v>
      </c>
      <c r="AE29" s="371">
        <f>'GPI Summary'!AD27/AE$34*1000000000</f>
        <v>2925.2988529564768</v>
      </c>
      <c r="AF29" s="371">
        <f>'GPI Summary'!AE27/AF$34*1000000000</f>
        <v>779.7926804234944</v>
      </c>
      <c r="AG29" s="371">
        <f>'GPI Summary'!AF27/AG$34*1000000000</f>
        <v>702.37697226251487</v>
      </c>
      <c r="AH29" s="371">
        <f>'GPI Summary'!AG27/AH$34*1000000000</f>
        <v>255.5471081677529</v>
      </c>
      <c r="AI29" s="371">
        <f>'GPI Summary'!AH27/AI$34*1000000000</f>
        <v>1894.1289768067209</v>
      </c>
      <c r="AJ29" s="371">
        <f>'GPI Summary'!AI27/AJ$34*1000000000</f>
        <v>338.31679783688367</v>
      </c>
      <c r="AK29" s="371">
        <f>'GPI Summary'!AJ27/AK$34*1000000000</f>
        <v>631.5862382099109</v>
      </c>
      <c r="AL29" s="371">
        <f>'GPI Summary'!AK27/AL$34*1000000000</f>
        <v>7302.7688180319437</v>
      </c>
      <c r="AM29" s="371">
        <f>'GPI Summary'!AL27/AM$34*1000000000</f>
        <v>614.85609244428019</v>
      </c>
      <c r="AN29" s="371">
        <f>'GPI Summary'!AM27/AN$34*1000000000</f>
        <v>1716.3642711554658</v>
      </c>
      <c r="AO29" s="371">
        <f>'GPI Summary'!AN27/AO$34*1000000000</f>
        <v>880.38179760336971</v>
      </c>
      <c r="AP29" s="371">
        <f>'GPI Summary'!AO27/AP$34*1000000000</f>
        <v>541.11243148855283</v>
      </c>
      <c r="AQ29" s="371">
        <f>'GPI Summary'!AP27/AQ$34*1000000000</f>
        <v>355.37105122619238</v>
      </c>
      <c r="AR29" s="371">
        <f>'GPI Summary'!AQ27/AR$34*1000000000</f>
        <v>813.08942179828296</v>
      </c>
      <c r="AS29" s="371">
        <f>'GPI Summary'!AR27/AS$34*1000000000</f>
        <v>5764.5610590514034</v>
      </c>
      <c r="AT29" s="371">
        <f>'GPI Summary'!AS27/AT$34*1000000000</f>
        <v>859.09814869878358</v>
      </c>
      <c r="AU29" s="371">
        <f>'GPI Summary'!AT27/AU$34*1000000000</f>
        <v>702.88043136372562</v>
      </c>
      <c r="AV29" s="371">
        <f>'GPI Summary'!AU27/AV$34*1000000000</f>
        <v>933.59280348134416</v>
      </c>
      <c r="AW29" s="371">
        <f>'GPI Summary'!AV27/AW$34*1000000000</f>
        <v>1313.0576107163618</v>
      </c>
      <c r="AX29" s="371">
        <f>'GPI Summary'!AW27/AX$34*1000000000</f>
        <v>528.99338947110914</v>
      </c>
      <c r="AY29" s="371">
        <f>'GPI Summary'!AX27/AY$34*1000000000</f>
        <v>706.63481660519358</v>
      </c>
      <c r="AZ29" s="371">
        <f>'GPI Summary'!AY27/AZ$34*1000000000</f>
        <v>1199.5472603657922</v>
      </c>
      <c r="BA29" s="371">
        <f>'GPI Summary'!AZ27/BA$34*1000000000</f>
        <v>1159.7958867739821</v>
      </c>
      <c r="BB29" s="371">
        <f>'GPI Summary'!BA27/BB$34*1000000000</f>
        <v>2867.1392117672158</v>
      </c>
    </row>
    <row r="30" spans="1:54" x14ac:dyDescent="0.2">
      <c r="A30" s="7">
        <v>25</v>
      </c>
      <c r="B30" s="7" t="s">
        <v>127</v>
      </c>
      <c r="C30" s="385" t="s">
        <v>1017</v>
      </c>
      <c r="D30" s="371">
        <f>'GPI Summary'!C28/D$34*1000000000</f>
        <v>1319.2018659273413</v>
      </c>
      <c r="E30" s="371">
        <f>'GPI Summary'!D28/E$34*1000000000</f>
        <v>972.26670391632763</v>
      </c>
      <c r="F30" s="371">
        <f>'GPI Summary'!E28/F$34*1000000000</f>
        <v>1153.2580372621694</v>
      </c>
      <c r="G30" s="371">
        <f>'GPI Summary'!F28/G$34*1000000000</f>
        <v>1101.5175720528803</v>
      </c>
      <c r="H30" s="371">
        <f>'GPI Summary'!G28/H$34*1000000000</f>
        <v>804.97764289992392</v>
      </c>
      <c r="I30" s="371">
        <f>'GPI Summary'!H28/I$34*1000000000</f>
        <v>1517.0776432048601</v>
      </c>
      <c r="J30" s="371">
        <f>'GPI Summary'!I28/J$34*1000000000</f>
        <v>1390.3971217099233</v>
      </c>
      <c r="K30" s="371">
        <f>'GPI Summary'!J28/K$34*1000000000</f>
        <v>1567.4041307395578</v>
      </c>
      <c r="L30" s="371">
        <f>'GPI Summary'!K28/L$34*1000000000</f>
        <v>1354.1843295094727</v>
      </c>
      <c r="M30" s="371">
        <f>'GPI Summary'!L28/M$34*1000000000</f>
        <v>1105.6641335320469</v>
      </c>
      <c r="N30" s="371">
        <f>'GPI Summary'!M28/N$34*1000000000</f>
        <v>1227.907440574749</v>
      </c>
      <c r="O30" s="371">
        <f>'GPI Summary'!N28/O$34*1000000000</f>
        <v>1396.9511953225581</v>
      </c>
      <c r="P30" s="371">
        <f>'GPI Summary'!O28/P$34*1000000000</f>
        <v>801.77276336301816</v>
      </c>
      <c r="Q30" s="371">
        <f>'GPI Summary'!P28/Q$34*1000000000</f>
        <v>1551.1704896504434</v>
      </c>
      <c r="R30" s="371">
        <f>'GPI Summary'!Q28/R$34*1000000000</f>
        <v>1032.1177114430388</v>
      </c>
      <c r="S30" s="371">
        <f>'GPI Summary'!R28/S$34*1000000000</f>
        <v>892.40782516963554</v>
      </c>
      <c r="T30" s="371">
        <f>'GPI Summary'!S28/T$34*1000000000</f>
        <v>910.53590467130084</v>
      </c>
      <c r="U30" s="371">
        <f>'GPI Summary'!T28/U$34*1000000000</f>
        <v>921.57232722324511</v>
      </c>
      <c r="V30" s="371">
        <f>'GPI Summary'!U28/V$34*1000000000</f>
        <v>1051.6879681877886</v>
      </c>
      <c r="W30" s="371">
        <f>'GPI Summary'!V28/W$34*1000000000</f>
        <v>1094.0904606989818</v>
      </c>
      <c r="X30" s="371">
        <f>'GPI Summary'!W28/X$34*1000000000</f>
        <v>2038.6595836701786</v>
      </c>
      <c r="Y30" s="371">
        <f>'GPI Summary'!X28/Y$34*1000000000</f>
        <v>1901.8742103049258</v>
      </c>
      <c r="Z30" s="371">
        <f>'GPI Summary'!Y28/Z$34*1000000000</f>
        <v>1098.0333102311588</v>
      </c>
      <c r="AA30" s="371">
        <f>'GPI Summary'!Z28/AA$34*1000000000</f>
        <v>1316.0967321594962</v>
      </c>
      <c r="AB30" s="371">
        <f>'GPI Summary'!AA28/AB$34*1000000000</f>
        <v>828.72235467797304</v>
      </c>
      <c r="AC30" s="371">
        <f>'GPI Summary'!AB28/AC$34*1000000000</f>
        <v>1072.1122562909036</v>
      </c>
      <c r="AD30" s="371">
        <f>'GPI Summary'!AC28/AD$34*1000000000</f>
        <v>766.8061786095501</v>
      </c>
      <c r="AE30" s="371">
        <f>'GPI Summary'!AD28/AE$34*1000000000</f>
        <v>889.14717499119024</v>
      </c>
      <c r="AF30" s="371">
        <f>'GPI Summary'!AE28/AF$34*1000000000</f>
        <v>1132.1703797680823</v>
      </c>
      <c r="AG30" s="371">
        <f>'GPI Summary'!AF28/AG$34*1000000000</f>
        <v>1478.7376899077178</v>
      </c>
      <c r="AH30" s="371">
        <f>'GPI Summary'!AG28/AH$34*1000000000</f>
        <v>1932.9549430946522</v>
      </c>
      <c r="AI30" s="371">
        <f>'GPI Summary'!AH28/AI$34*1000000000</f>
        <v>918.10458174711016</v>
      </c>
      <c r="AJ30" s="371">
        <f>'GPI Summary'!AI28/AJ$34*1000000000</f>
        <v>2135.3399006600152</v>
      </c>
      <c r="AK30" s="371">
        <f>'GPI Summary'!AJ28/AK$34*1000000000</f>
        <v>1046.359044152839</v>
      </c>
      <c r="AL30" s="371">
        <f>'GPI Summary'!AK28/AL$34*1000000000</f>
        <v>843.00748335810033</v>
      </c>
      <c r="AM30" s="371">
        <f>'GPI Summary'!AL28/AM$34*1000000000</f>
        <v>1074.6236531263701</v>
      </c>
      <c r="AN30" s="371">
        <f>'GPI Summary'!AM28/AN$34*1000000000</f>
        <v>885.41911375628365</v>
      </c>
      <c r="AO30" s="371">
        <f>'GPI Summary'!AN28/AO$34*1000000000</f>
        <v>1073.7968272135288</v>
      </c>
      <c r="AP30" s="371">
        <f>'GPI Summary'!AO28/AP$34*1000000000</f>
        <v>1327.0047215463978</v>
      </c>
      <c r="AQ30" s="371">
        <f>'GPI Summary'!AP28/AQ$34*1000000000</f>
        <v>1331.6916214246464</v>
      </c>
      <c r="AR30" s="371">
        <f>'GPI Summary'!AQ28/AR$34*1000000000</f>
        <v>947.35495500740933</v>
      </c>
      <c r="AS30" s="371">
        <f>'GPI Summary'!AR28/AS$34*1000000000</f>
        <v>726.49670496262956</v>
      </c>
      <c r="AT30" s="371">
        <f>'GPI Summary'!AS28/AT$34*1000000000</f>
        <v>1018.9221552683863</v>
      </c>
      <c r="AU30" s="371">
        <f>'GPI Summary'!AT28/AU$34*1000000000</f>
        <v>1189.8153067587798</v>
      </c>
      <c r="AV30" s="371">
        <f>'GPI Summary'!AU28/AV$34*1000000000</f>
        <v>995.42369807365924</v>
      </c>
      <c r="AW30" s="371">
        <f>'GPI Summary'!AV28/AW$34*1000000000</f>
        <v>1162.3719550291387</v>
      </c>
      <c r="AX30" s="371">
        <f>'GPI Summary'!AW28/AX$34*1000000000</f>
        <v>1604.3193549973814</v>
      </c>
      <c r="AY30" s="371">
        <f>'GPI Summary'!AX28/AY$34*1000000000</f>
        <v>1487.5599645576451</v>
      </c>
      <c r="AZ30" s="371">
        <f>'GPI Summary'!AY28/AZ$34*1000000000</f>
        <v>923.54941481083972</v>
      </c>
      <c r="BA30" s="371">
        <f>'GPI Summary'!AZ28/BA$34*1000000000</f>
        <v>1090.8915336315924</v>
      </c>
      <c r="BB30" s="371">
        <f>'GPI Summary'!BA28/BB$34*1000000000</f>
        <v>997.43302822083854</v>
      </c>
    </row>
    <row r="31" spans="1:54" x14ac:dyDescent="0.2">
      <c r="A31" s="7">
        <v>26</v>
      </c>
      <c r="B31" s="7" t="s">
        <v>128</v>
      </c>
      <c r="C31" s="385" t="s">
        <v>1017</v>
      </c>
      <c r="D31" s="371">
        <f>'GPI Summary'!C29/D$34*1000000000</f>
        <v>5179.3737851433816</v>
      </c>
      <c r="E31" s="371">
        <f>'GPI Summary'!D29/E$34*1000000000</f>
        <v>9268.654361262772</v>
      </c>
      <c r="F31" s="371">
        <f>'GPI Summary'!E29/F$34*1000000000</f>
        <v>4953.7258585914396</v>
      </c>
      <c r="G31" s="371">
        <f>'GPI Summary'!F29/G$34*1000000000</f>
        <v>6353.0750396416433</v>
      </c>
      <c r="H31" s="371">
        <f>'GPI Summary'!G29/H$34*1000000000</f>
        <v>9304.4044712721989</v>
      </c>
      <c r="I31" s="371">
        <f>'GPI Summary'!H29/I$34*1000000000</f>
        <v>3688.5668975510953</v>
      </c>
      <c r="J31" s="371">
        <f>'GPI Summary'!I29/J$34*1000000000</f>
        <v>4351.1634966036008</v>
      </c>
      <c r="K31" s="371">
        <f>'GPI Summary'!J29/K$34*1000000000</f>
        <v>3054.77776287712</v>
      </c>
      <c r="L31" s="371">
        <f>'GPI Summary'!K29/L$34*1000000000</f>
        <v>5429.2254362502572</v>
      </c>
      <c r="M31" s="371">
        <f>'GPI Summary'!L29/M$34*1000000000</f>
        <v>6258.5449425929346</v>
      </c>
      <c r="N31" s="371">
        <f>'GPI Summary'!M29/N$34*1000000000</f>
        <v>6207.2981868630977</v>
      </c>
      <c r="O31" s="371">
        <f>'GPI Summary'!N29/O$34*1000000000</f>
        <v>3613.8005464897219</v>
      </c>
      <c r="P31" s="371">
        <f>'GPI Summary'!O29/P$34*1000000000</f>
        <v>5251.5262357215988</v>
      </c>
      <c r="Q31" s="371">
        <f>'GPI Summary'!P29/Q$34*1000000000</f>
        <v>3555.200831244646</v>
      </c>
      <c r="R31" s="371">
        <f>'GPI Summary'!Q29/R$34*1000000000</f>
        <v>5732.059788657858</v>
      </c>
      <c r="S31" s="371">
        <f>'GPI Summary'!R29/S$34*1000000000</f>
        <v>5851.3225919414435</v>
      </c>
      <c r="T31" s="371">
        <f>'GPI Summary'!S29/T$34*1000000000</f>
        <v>6697.3200352380018</v>
      </c>
      <c r="U31" s="371">
        <f>'GPI Summary'!T29/U$34*1000000000</f>
        <v>8222.8926703389079</v>
      </c>
      <c r="V31" s="371">
        <f>'GPI Summary'!U29/V$34*1000000000</f>
        <v>7348.3348656521448</v>
      </c>
      <c r="W31" s="371">
        <f>'GPI Summary'!V29/W$34*1000000000</f>
        <v>5098.2017406524246</v>
      </c>
      <c r="X31" s="371">
        <f>'GPI Summary'!W29/X$34*1000000000</f>
        <v>4136.3261154527536</v>
      </c>
      <c r="Y31" s="371">
        <f>'GPI Summary'!X29/Y$34*1000000000</f>
        <v>2540.2674757879381</v>
      </c>
      <c r="Z31" s="371">
        <f>'GPI Summary'!Y29/Z$34*1000000000</f>
        <v>4482.6982778465763</v>
      </c>
      <c r="AA31" s="371">
        <f>'GPI Summary'!Z29/AA$34*1000000000</f>
        <v>3427.4205849844316</v>
      </c>
      <c r="AB31" s="371">
        <f>'GPI Summary'!AA29/AB$34*1000000000</f>
        <v>10537.779386906343</v>
      </c>
      <c r="AC31" s="371">
        <f>'GPI Summary'!AB29/AC$34*1000000000</f>
        <v>6497.840788614737</v>
      </c>
      <c r="AD31" s="371">
        <f>'GPI Summary'!AC29/AD$34*1000000000</f>
        <v>10433.13266517452</v>
      </c>
      <c r="AE31" s="371">
        <f>'GPI Summary'!AD29/AE$34*1000000000</f>
        <v>4893.1421487896396</v>
      </c>
      <c r="AF31" s="371">
        <f>'GPI Summary'!AE29/AF$34*1000000000</f>
        <v>4504.1804716716151</v>
      </c>
      <c r="AG31" s="371">
        <f>'GPI Summary'!AF29/AG$34*1000000000</f>
        <v>3401.2985209518542</v>
      </c>
      <c r="AH31" s="371">
        <f>'GPI Summary'!AG29/AH$34*1000000000</f>
        <v>3534.4854361283533</v>
      </c>
      <c r="AI31" s="371">
        <f>'GPI Summary'!AH29/AI$34*1000000000</f>
        <v>8457.5071255361199</v>
      </c>
      <c r="AJ31" s="371">
        <f>'GPI Summary'!AI29/AJ$34*1000000000</f>
        <v>2985.3686056923016</v>
      </c>
      <c r="AK31" s="371">
        <f>'GPI Summary'!AJ29/AK$34*1000000000</f>
        <v>6331.7194418088793</v>
      </c>
      <c r="AL31" s="371">
        <f>'GPI Summary'!AK29/AL$34*1000000000</f>
        <v>10764.405954571566</v>
      </c>
      <c r="AM31" s="371">
        <f>'GPI Summary'!AL29/AM$34*1000000000</f>
        <v>4384.3382701931187</v>
      </c>
      <c r="AN31" s="371">
        <f>'GPI Summary'!AM29/AN$34*1000000000</f>
        <v>9159.9574331232543</v>
      </c>
      <c r="AO31" s="371">
        <f>'GPI Summary'!AN29/AO$34*1000000000</f>
        <v>4261.5723715771055</v>
      </c>
      <c r="AP31" s="371">
        <f>'GPI Summary'!AO29/AP$34*1000000000</f>
        <v>5025.6359855412684</v>
      </c>
      <c r="AQ31" s="371">
        <f>'GPI Summary'!AP29/AQ$34*1000000000</f>
        <v>3128.539013140487</v>
      </c>
      <c r="AR31" s="371">
        <f>'GPI Summary'!AQ29/AR$34*1000000000</f>
        <v>8823.8123931708051</v>
      </c>
      <c r="AS31" s="371">
        <f>'GPI Summary'!AR29/AS$34*1000000000</f>
        <v>6712.1921871604054</v>
      </c>
      <c r="AT31" s="371">
        <f>'GPI Summary'!AS29/AT$34*1000000000</f>
        <v>7361.7263095370727</v>
      </c>
      <c r="AU31" s="371">
        <f>'GPI Summary'!AT29/AU$34*1000000000</f>
        <v>5860.1219678686884</v>
      </c>
      <c r="AV31" s="371">
        <f>'GPI Summary'!AU29/AV$34*1000000000</f>
        <v>4247.0526910860681</v>
      </c>
      <c r="AW31" s="371">
        <f>'GPI Summary'!AV29/AW$34*1000000000</f>
        <v>4371.5142123316828</v>
      </c>
      <c r="AX31" s="371">
        <f>'GPI Summary'!AW29/AX$34*1000000000</f>
        <v>4694.9113796516394</v>
      </c>
      <c r="AY31" s="371">
        <f>'GPI Summary'!AX29/AY$34*1000000000</f>
        <v>3335.630107004949</v>
      </c>
      <c r="AZ31" s="371">
        <f>'GPI Summary'!AY29/AZ$34*1000000000</f>
        <v>9048.187205690705</v>
      </c>
      <c r="BA31" s="371">
        <f>'GPI Summary'!AZ29/BA$34*1000000000</f>
        <v>5076.3653221288223</v>
      </c>
      <c r="BB31" s="371">
        <f>'GPI Summary'!BA29/BB$34*1000000000</f>
        <v>11850.377011964269</v>
      </c>
    </row>
    <row r="33" spans="2:56" s="220" customFormat="1" x14ac:dyDescent="0.2">
      <c r="D33" s="373" t="s">
        <v>96</v>
      </c>
      <c r="E33" s="373" t="s">
        <v>39</v>
      </c>
      <c r="F33" s="373" t="s">
        <v>40</v>
      </c>
      <c r="G33" s="373" t="s">
        <v>41</v>
      </c>
      <c r="H33" s="373" t="s">
        <v>42</v>
      </c>
      <c r="I33" s="373" t="s">
        <v>43</v>
      </c>
      <c r="J33" s="373" t="s">
        <v>44</v>
      </c>
      <c r="K33" s="373" t="s">
        <v>45</v>
      </c>
      <c r="L33" s="373" t="s">
        <v>46</v>
      </c>
      <c r="M33" s="373" t="s">
        <v>47</v>
      </c>
      <c r="N33" s="373" t="s">
        <v>48</v>
      </c>
      <c r="O33" s="373" t="s">
        <v>49</v>
      </c>
      <c r="P33" s="373" t="s">
        <v>50</v>
      </c>
      <c r="Q33" s="373" t="s">
        <v>51</v>
      </c>
      <c r="R33" s="373" t="s">
        <v>52</v>
      </c>
      <c r="S33" s="373" t="s">
        <v>53</v>
      </c>
      <c r="T33" s="373" t="s">
        <v>54</v>
      </c>
      <c r="U33" s="373" t="s">
        <v>55</v>
      </c>
      <c r="V33" s="373" t="s">
        <v>56</v>
      </c>
      <c r="W33" s="373" t="s">
        <v>57</v>
      </c>
      <c r="X33" s="373" t="s">
        <v>58</v>
      </c>
      <c r="Y33" s="373" t="s">
        <v>59</v>
      </c>
      <c r="Z33" s="373" t="s">
        <v>60</v>
      </c>
      <c r="AA33" s="373" t="s">
        <v>61</v>
      </c>
      <c r="AB33" s="373" t="s">
        <v>62</v>
      </c>
      <c r="AC33" s="373" t="s">
        <v>63</v>
      </c>
      <c r="AD33" s="373" t="s">
        <v>64</v>
      </c>
      <c r="AE33" s="373" t="s">
        <v>65</v>
      </c>
      <c r="AF33" s="373" t="s">
        <v>66</v>
      </c>
      <c r="AG33" s="373" t="s">
        <v>67</v>
      </c>
      <c r="AH33" s="373" t="s">
        <v>68</v>
      </c>
      <c r="AI33" s="373" t="s">
        <v>69</v>
      </c>
      <c r="AJ33" s="373" t="s">
        <v>70</v>
      </c>
      <c r="AK33" s="373" t="s">
        <v>71</v>
      </c>
      <c r="AL33" s="373" t="s">
        <v>72</v>
      </c>
      <c r="AM33" s="373" t="s">
        <v>73</v>
      </c>
      <c r="AN33" s="373" t="s">
        <v>74</v>
      </c>
      <c r="AO33" s="373" t="s">
        <v>75</v>
      </c>
      <c r="AP33" s="373" t="s">
        <v>76</v>
      </c>
      <c r="AQ33" s="373" t="s">
        <v>77</v>
      </c>
      <c r="AR33" s="373" t="s">
        <v>78</v>
      </c>
      <c r="AS33" s="373" t="s">
        <v>79</v>
      </c>
      <c r="AT33" s="373" t="s">
        <v>80</v>
      </c>
      <c r="AU33" s="373" t="s">
        <v>81</v>
      </c>
      <c r="AV33" s="373" t="s">
        <v>82</v>
      </c>
      <c r="AW33" s="373" t="s">
        <v>83</v>
      </c>
      <c r="AX33" s="373" t="s">
        <v>84</v>
      </c>
      <c r="AY33" s="373" t="s">
        <v>85</v>
      </c>
      <c r="AZ33" s="373" t="s">
        <v>86</v>
      </c>
      <c r="BA33" s="373" t="s">
        <v>87</v>
      </c>
      <c r="BB33" s="373" t="s">
        <v>88</v>
      </c>
      <c r="BD33" s="9"/>
    </row>
    <row r="34" spans="2:56" x14ac:dyDescent="0.2">
      <c r="B34" s="7" t="s">
        <v>89</v>
      </c>
      <c r="C34" s="7" t="s">
        <v>130</v>
      </c>
      <c r="D34" s="374">
        <f>'GPI Summary'!C32</f>
        <v>310968796</v>
      </c>
      <c r="E34" s="374">
        <f>'GPI Summary'!D32</f>
        <v>4803689</v>
      </c>
      <c r="F34" s="374">
        <f>'GPI Summary'!E32</f>
        <v>723860</v>
      </c>
      <c r="G34" s="374">
        <f>'GPI Summary'!F32</f>
        <v>6467315</v>
      </c>
      <c r="H34" s="374">
        <f>'GPI Summary'!G32</f>
        <v>2938582</v>
      </c>
      <c r="I34" s="374">
        <f>'GPI Summary'!H32</f>
        <v>37683933</v>
      </c>
      <c r="J34" s="374">
        <f>'GPI Summary'!I32</f>
        <v>5116302</v>
      </c>
      <c r="K34" s="374">
        <f>'GPI Summary'!J32</f>
        <v>3586717</v>
      </c>
      <c r="L34" s="374">
        <f>'GPI Summary'!K32</f>
        <v>908137</v>
      </c>
      <c r="M34" s="374">
        <f>'GPI Summary'!L32</f>
        <v>19082262</v>
      </c>
      <c r="N34" s="374">
        <f>'GPI Summary'!M32</f>
        <v>9812460</v>
      </c>
      <c r="O34" s="374">
        <f>'GPI Summary'!N32</f>
        <v>1378129</v>
      </c>
      <c r="P34" s="374">
        <f>'GPI Summary'!O32</f>
        <v>1583744</v>
      </c>
      <c r="Q34" s="374">
        <f>'GPI Summary'!P32</f>
        <v>12859752</v>
      </c>
      <c r="R34" s="374">
        <f>'GPI Summary'!Q32</f>
        <v>6516353</v>
      </c>
      <c r="S34" s="374">
        <f>'GPI Summary'!R32</f>
        <v>3064097</v>
      </c>
      <c r="T34" s="374">
        <f>'GPI Summary'!S32</f>
        <v>2870386</v>
      </c>
      <c r="U34" s="374">
        <f>'GPI Summary'!T32</f>
        <v>4366814</v>
      </c>
      <c r="V34" s="374">
        <f>'GPI Summary'!U32</f>
        <v>4574766</v>
      </c>
      <c r="W34" s="374">
        <f>'GPI Summary'!V32</f>
        <v>1328544</v>
      </c>
      <c r="X34" s="374">
        <f>'GPI Summary'!W32</f>
        <v>5839572</v>
      </c>
      <c r="Y34" s="374">
        <f>'GPI Summary'!X32</f>
        <v>6607003</v>
      </c>
      <c r="Z34" s="374">
        <f>'GPI Summary'!Y32</f>
        <v>9876801</v>
      </c>
      <c r="AA34" s="374">
        <f>'GPI Summary'!Z32</f>
        <v>5347299</v>
      </c>
      <c r="AB34" s="374">
        <f>'GPI Summary'!AA32</f>
        <v>2977457</v>
      </c>
      <c r="AC34" s="374">
        <f>'GPI Summary'!AB32</f>
        <v>6008984</v>
      </c>
      <c r="AD34" s="374">
        <f>'GPI Summary'!AC32</f>
        <v>997667</v>
      </c>
      <c r="AE34" s="374">
        <f>'GPI Summary'!AD32</f>
        <v>1842234</v>
      </c>
      <c r="AF34" s="374">
        <f>'GPI Summary'!AE32</f>
        <v>2720028</v>
      </c>
      <c r="AG34" s="374">
        <f>'GPI Summary'!AF32</f>
        <v>1317807</v>
      </c>
      <c r="AH34" s="374">
        <f>'GPI Summary'!AG32</f>
        <v>8834773</v>
      </c>
      <c r="AI34" s="374">
        <f>'GPI Summary'!AH32</f>
        <v>2078674</v>
      </c>
      <c r="AJ34" s="374">
        <f>'GPI Summary'!AI32</f>
        <v>19501616</v>
      </c>
      <c r="AK34" s="374">
        <f>'GPI Summary'!AJ32</f>
        <v>9651103</v>
      </c>
      <c r="AL34" s="374">
        <f>'GPI Summary'!AK32</f>
        <v>684740</v>
      </c>
      <c r="AM34" s="374">
        <f>'GPI Summary'!AL32</f>
        <v>11541007</v>
      </c>
      <c r="AN34" s="374">
        <f>'GPI Summary'!AM32</f>
        <v>3784163</v>
      </c>
      <c r="AO34" s="374">
        <f>'GPI Summary'!AN32</f>
        <v>3868229</v>
      </c>
      <c r="AP34" s="374">
        <f>'GPI Summary'!AO32</f>
        <v>12743948</v>
      </c>
      <c r="AQ34" s="374">
        <f>'GPI Summary'!AP32</f>
        <v>1050646</v>
      </c>
      <c r="AR34" s="374">
        <f>'GPI Summary'!AQ32</f>
        <v>4673348</v>
      </c>
      <c r="AS34" s="374">
        <f>'GPI Summary'!AR32</f>
        <v>823593</v>
      </c>
      <c r="AT34" s="374">
        <f>'GPI Summary'!AS32</f>
        <v>6399787</v>
      </c>
      <c r="AU34" s="374">
        <f>'GPI Summary'!AT32</f>
        <v>25631778</v>
      </c>
      <c r="AV34" s="374">
        <f>'GPI Summary'!AU32</f>
        <v>2814347</v>
      </c>
      <c r="AW34" s="374">
        <f>'GPI Summary'!AV32</f>
        <v>626592</v>
      </c>
      <c r="AX34" s="374">
        <f>'GPI Summary'!AW32</f>
        <v>8104384</v>
      </c>
      <c r="AY34" s="374">
        <f>'GPI Summary'!AX32</f>
        <v>6823267</v>
      </c>
      <c r="AZ34" s="374">
        <f>'GPI Summary'!AY32</f>
        <v>1854908</v>
      </c>
      <c r="BA34" s="374">
        <f>'GPI Summary'!AZ32</f>
        <v>5709843</v>
      </c>
      <c r="BB34" s="374">
        <f>'GPI Summary'!BA32</f>
        <v>567356</v>
      </c>
      <c r="BC34" s="7">
        <f>SUM(E34:BB34)/D34</f>
        <v>1</v>
      </c>
      <c r="BD34" s="9" t="s">
        <v>129</v>
      </c>
    </row>
    <row r="35" spans="2:56" x14ac:dyDescent="0.2">
      <c r="B35" s="7" t="s">
        <v>93</v>
      </c>
      <c r="C35" s="7" t="s">
        <v>94</v>
      </c>
      <c r="D35" s="375">
        <f t="shared" ref="D35:BB35" si="2">D34/$D$34</f>
        <v>1</v>
      </c>
      <c r="E35" s="376">
        <f t="shared" si="2"/>
        <v>1.5447495252867751E-2</v>
      </c>
      <c r="F35" s="376">
        <f t="shared" si="2"/>
        <v>2.3277576699367612E-3</v>
      </c>
      <c r="G35" s="376">
        <f t="shared" si="2"/>
        <v>2.079731176629053E-2</v>
      </c>
      <c r="H35" s="376">
        <f t="shared" si="2"/>
        <v>9.4497648567928982E-3</v>
      </c>
      <c r="I35" s="376">
        <f t="shared" si="2"/>
        <v>0.1211823613324856</v>
      </c>
      <c r="J35" s="376">
        <f t="shared" si="2"/>
        <v>1.6452782612953874E-2</v>
      </c>
      <c r="K35" s="376">
        <f t="shared" si="2"/>
        <v>1.153400934799902E-2</v>
      </c>
      <c r="L35" s="376">
        <f t="shared" si="2"/>
        <v>2.9203476737260804E-3</v>
      </c>
      <c r="M35" s="376">
        <f t="shared" si="2"/>
        <v>6.1363912538671565E-2</v>
      </c>
      <c r="N35" s="376">
        <f t="shared" si="2"/>
        <v>3.1554484328389011E-2</v>
      </c>
      <c r="O35" s="376">
        <f t="shared" si="2"/>
        <v>4.4317276129531655E-3</v>
      </c>
      <c r="P35" s="376">
        <f t="shared" si="2"/>
        <v>5.0929354339462407E-3</v>
      </c>
      <c r="Q35" s="376">
        <f t="shared" si="2"/>
        <v>4.1353834099804664E-2</v>
      </c>
      <c r="R35" s="376">
        <f t="shared" si="2"/>
        <v>2.0955006045043825E-2</v>
      </c>
      <c r="S35" s="376">
        <f t="shared" si="2"/>
        <v>9.8533905633412817E-3</v>
      </c>
      <c r="T35" s="376">
        <f t="shared" si="2"/>
        <v>9.2304631105173656E-3</v>
      </c>
      <c r="U35" s="376">
        <f t="shared" si="2"/>
        <v>1.4042611529421749E-2</v>
      </c>
      <c r="V35" s="376">
        <f t="shared" si="2"/>
        <v>1.4711334573903679E-2</v>
      </c>
      <c r="W35" s="376">
        <f t="shared" si="2"/>
        <v>4.2722743152660246E-3</v>
      </c>
      <c r="X35" s="376">
        <f t="shared" si="2"/>
        <v>1.8778642986417196E-2</v>
      </c>
      <c r="Y35" s="376">
        <f t="shared" si="2"/>
        <v>2.1246514393038974E-2</v>
      </c>
      <c r="Z35" s="376">
        <f t="shared" si="2"/>
        <v>3.1761389332452511E-2</v>
      </c>
      <c r="AA35" s="376">
        <f t="shared" si="2"/>
        <v>1.719561277138559E-2</v>
      </c>
      <c r="AB35" s="376">
        <f t="shared" si="2"/>
        <v>9.5747773998520417E-3</v>
      </c>
      <c r="AC35" s="376">
        <f t="shared" si="2"/>
        <v>1.9323430766346086E-2</v>
      </c>
      <c r="AD35" s="376">
        <f t="shared" si="2"/>
        <v>3.2082543741784302E-3</v>
      </c>
      <c r="AE35" s="376">
        <f t="shared" si="2"/>
        <v>5.9241763922834242E-3</v>
      </c>
      <c r="AF35" s="376">
        <f t="shared" si="2"/>
        <v>8.7469483594103115E-3</v>
      </c>
      <c r="AG35" s="376">
        <f t="shared" si="2"/>
        <v>4.2377467352061908E-3</v>
      </c>
      <c r="AH35" s="376">
        <f t="shared" si="2"/>
        <v>2.8410480773768697E-2</v>
      </c>
      <c r="AI35" s="376">
        <f t="shared" si="2"/>
        <v>6.6845099146217871E-3</v>
      </c>
      <c r="AJ35" s="376">
        <f t="shared" si="2"/>
        <v>6.2712452988369929E-2</v>
      </c>
      <c r="AK35" s="376">
        <f t="shared" si="2"/>
        <v>3.1035599468957651E-2</v>
      </c>
      <c r="AL35" s="376">
        <f t="shared" si="2"/>
        <v>2.2019572664776308E-3</v>
      </c>
      <c r="AM35" s="376">
        <f t="shared" si="2"/>
        <v>3.7113070984781379E-2</v>
      </c>
      <c r="AN35" s="376">
        <f t="shared" si="2"/>
        <v>1.2168947652226817E-2</v>
      </c>
      <c r="AO35" s="376">
        <f t="shared" si="2"/>
        <v>1.2439283457881093E-2</v>
      </c>
      <c r="AP35" s="376">
        <f t="shared" si="2"/>
        <v>4.0981436606906375E-2</v>
      </c>
      <c r="AQ35" s="376">
        <f t="shared" si="2"/>
        <v>3.3786219502229412E-3</v>
      </c>
      <c r="AR35" s="376">
        <f t="shared" si="2"/>
        <v>1.5028350304317994E-2</v>
      </c>
      <c r="AS35" s="376">
        <f t="shared" si="2"/>
        <v>2.6484747363526469E-3</v>
      </c>
      <c r="AT35" s="376">
        <f t="shared" si="2"/>
        <v>2.0580158145513738E-2</v>
      </c>
      <c r="AU35" s="376">
        <f t="shared" si="2"/>
        <v>8.2425562724306262E-2</v>
      </c>
      <c r="AV35" s="376">
        <f t="shared" si="2"/>
        <v>9.0502553188648548E-3</v>
      </c>
      <c r="AW35" s="376">
        <f t="shared" si="2"/>
        <v>2.0149674438717639E-3</v>
      </c>
      <c r="AX35" s="376">
        <f t="shared" si="2"/>
        <v>2.606172742811147E-2</v>
      </c>
      <c r="AY35" s="376">
        <f t="shared" si="2"/>
        <v>2.1941966807499231E-2</v>
      </c>
      <c r="AZ35" s="376">
        <f t="shared" si="2"/>
        <v>5.9649328931382552E-3</v>
      </c>
      <c r="BA35" s="376">
        <f t="shared" si="2"/>
        <v>1.8361466080989038E-2</v>
      </c>
      <c r="BB35" s="376">
        <f t="shared" si="2"/>
        <v>1.8244788779386084E-3</v>
      </c>
      <c r="BC35" s="8">
        <f>SUM(E35:BB35)</f>
        <v>0.99999999999999989</v>
      </c>
      <c r="BD35" s="9" t="s">
        <v>99</v>
      </c>
    </row>
    <row r="36" spans="2:56" x14ac:dyDescent="0.2">
      <c r="B36" s="7" t="s">
        <v>90</v>
      </c>
      <c r="C36" s="7" t="s">
        <v>98</v>
      </c>
      <c r="D36" s="371">
        <f>'GPI Summary'!C34</f>
        <v>13337587</v>
      </c>
      <c r="E36" s="371">
        <f>'GPI Summary'!D34</f>
        <v>157272</v>
      </c>
      <c r="F36" s="371">
        <f>'GPI Summary'!E34</f>
        <v>44732</v>
      </c>
      <c r="G36" s="371">
        <f>'GPI Summary'!F34</f>
        <v>230641</v>
      </c>
      <c r="H36" s="371">
        <f>'GPI Summary'!G34</f>
        <v>93892</v>
      </c>
      <c r="I36" s="371">
        <f>'GPI Summary'!H34</f>
        <v>1751002</v>
      </c>
      <c r="J36" s="371">
        <f>'GPI Summary'!I34</f>
        <v>239884</v>
      </c>
      <c r="K36" s="371">
        <f>'GPI Summary'!J34</f>
        <v>197202</v>
      </c>
      <c r="L36" s="371">
        <f>'GPI Summary'!K34</f>
        <v>56110</v>
      </c>
      <c r="M36" s="371">
        <f>'GPI Summary'!L34</f>
        <v>672287</v>
      </c>
      <c r="N36" s="371">
        <f>'GPI Summary'!M34</f>
        <v>374000</v>
      </c>
      <c r="O36" s="371">
        <f>'GPI Summary'!N34</f>
        <v>61877</v>
      </c>
      <c r="P36" s="371">
        <f>'GPI Summary'!O34</f>
        <v>50976</v>
      </c>
      <c r="Q36" s="371">
        <f>'GPI Summary'!P34</f>
        <v>594201</v>
      </c>
      <c r="R36" s="371">
        <f>'GPI Summary'!Q34</f>
        <v>255380</v>
      </c>
      <c r="S36" s="371">
        <f>'GPI Summary'!R34</f>
        <v>129799</v>
      </c>
      <c r="T36" s="371">
        <f>'GPI Summary'!S34</f>
        <v>118523</v>
      </c>
      <c r="U36" s="371">
        <f>'GPI Summary'!T34</f>
        <v>146829</v>
      </c>
      <c r="V36" s="371">
        <f>'GPI Summary'!U34</f>
        <v>198548</v>
      </c>
      <c r="W36" s="371">
        <f>'GPI Summary'!V34</f>
        <v>45986</v>
      </c>
      <c r="X36" s="371">
        <f>'GPI Summary'!W34</f>
        <v>274930</v>
      </c>
      <c r="Y36" s="371">
        <f>'GPI Summary'!X34</f>
        <v>353717</v>
      </c>
      <c r="Z36" s="371">
        <f>'GPI Summary'!Y34</f>
        <v>348867</v>
      </c>
      <c r="AA36" s="371">
        <f>'GPI Summary'!Z34</f>
        <v>252971</v>
      </c>
      <c r="AB36" s="371">
        <f>'GPI Summary'!AA34</f>
        <v>86396</v>
      </c>
      <c r="AC36" s="371">
        <f>'GPI Summary'!AB34</f>
        <v>221702</v>
      </c>
      <c r="AD36" s="371">
        <f>'GPI Summary'!AC34</f>
        <v>33374</v>
      </c>
      <c r="AE36" s="371">
        <f>'GPI Summary'!AD34</f>
        <v>83393</v>
      </c>
      <c r="AF36" s="371">
        <f>'GPI Summary'!AE34</f>
        <v>113197</v>
      </c>
      <c r="AG36" s="371">
        <f>'GPI Summary'!AF34</f>
        <v>56735</v>
      </c>
      <c r="AH36" s="371">
        <f>'GPI Summary'!AG34</f>
        <v>438173</v>
      </c>
      <c r="AI36" s="371">
        <f>'GPI Summary'!AH34</f>
        <v>70699</v>
      </c>
      <c r="AJ36" s="371">
        <f>'GPI Summary'!AI34</f>
        <v>1038541</v>
      </c>
      <c r="AK36" s="371">
        <f>'GPI Summary'!AJ34</f>
        <v>392905</v>
      </c>
      <c r="AL36" s="371">
        <f>'GPI Summary'!AK34</f>
        <v>38654</v>
      </c>
      <c r="AM36" s="371">
        <f>'GPI Summary'!AL34</f>
        <v>435104</v>
      </c>
      <c r="AN36" s="371">
        <f>'GPI Summary'!AM34</f>
        <v>138296</v>
      </c>
      <c r="AO36" s="371">
        <f>'GPI Summary'!AN34</f>
        <v>187440</v>
      </c>
      <c r="AP36" s="371">
        <f>'GPI Summary'!AO34</f>
        <v>511345</v>
      </c>
      <c r="AQ36" s="371">
        <f>'GPI Summary'!AP34</f>
        <v>43774</v>
      </c>
      <c r="AR36" s="371">
        <f>'GPI Summary'!AQ34</f>
        <v>150596</v>
      </c>
      <c r="AS36" s="371">
        <f>'GPI Summary'!AR34</f>
        <v>35985</v>
      </c>
      <c r="AT36" s="371">
        <f>'GPI Summary'!AS34</f>
        <v>240523</v>
      </c>
      <c r="AU36" s="371">
        <f>'GPI Summary'!AT34</f>
        <v>1211692</v>
      </c>
      <c r="AV36" s="371">
        <f>'GPI Summary'!AU34</f>
        <v>111808</v>
      </c>
      <c r="AW36" s="371">
        <f>'GPI Summary'!AV34</f>
        <v>23912</v>
      </c>
      <c r="AX36" s="371">
        <f>'GPI Summary'!AW34</f>
        <v>385772</v>
      </c>
      <c r="AY36" s="371">
        <f>'GPI Summary'!AX34</f>
        <v>325165</v>
      </c>
      <c r="AZ36" s="371">
        <f>'GPI Summary'!AY34</f>
        <v>56384</v>
      </c>
      <c r="BA36" s="371">
        <f>'GPI Summary'!AZ34</f>
        <v>225094</v>
      </c>
      <c r="BB36" s="371">
        <f>'GPI Summary'!BA34</f>
        <v>31302</v>
      </c>
      <c r="BC36" s="382">
        <f>SUM(E36:BB36)/D36</f>
        <v>1</v>
      </c>
      <c r="BD36" s="9" t="s">
        <v>100</v>
      </c>
    </row>
    <row r="37" spans="2:56" x14ac:dyDescent="0.2">
      <c r="B37" s="7" t="s">
        <v>91</v>
      </c>
      <c r="C37" s="7" t="s">
        <v>94</v>
      </c>
      <c r="D37" s="375">
        <f t="shared" ref="D37:BB37" si="3">D36/$D$36</f>
        <v>1</v>
      </c>
      <c r="E37" s="376">
        <f t="shared" si="3"/>
        <v>1.1791638172631977E-2</v>
      </c>
      <c r="F37" s="376">
        <f t="shared" si="3"/>
        <v>3.3538300443700948E-3</v>
      </c>
      <c r="G37" s="376">
        <f t="shared" si="3"/>
        <v>1.729255824160697E-2</v>
      </c>
      <c r="H37" s="376">
        <f t="shared" si="3"/>
        <v>7.0396541743270357E-3</v>
      </c>
      <c r="I37" s="376">
        <f t="shared" si="3"/>
        <v>0.13128326735563187</v>
      </c>
      <c r="J37" s="376">
        <f t="shared" si="3"/>
        <v>1.7985562156033173E-2</v>
      </c>
      <c r="K37" s="376">
        <f t="shared" si="3"/>
        <v>1.4785433077212543E-2</v>
      </c>
      <c r="L37" s="376">
        <f t="shared" si="3"/>
        <v>4.206907891210007E-3</v>
      </c>
      <c r="M37" s="376">
        <f t="shared" si="3"/>
        <v>5.0405444403099305E-2</v>
      </c>
      <c r="N37" s="376">
        <f t="shared" si="3"/>
        <v>2.8041054202682988E-2</v>
      </c>
      <c r="O37" s="376">
        <f t="shared" si="3"/>
        <v>4.6392949489289176E-3</v>
      </c>
      <c r="P37" s="376">
        <f t="shared" si="3"/>
        <v>3.82198069260954E-3</v>
      </c>
      <c r="Q37" s="376">
        <f t="shared" si="3"/>
        <v>4.4550862161199023E-2</v>
      </c>
      <c r="R37" s="376">
        <f t="shared" si="3"/>
        <v>1.914739150342562E-2</v>
      </c>
      <c r="S37" s="376">
        <f t="shared" si="3"/>
        <v>9.7318203060268692E-3</v>
      </c>
      <c r="T37" s="376">
        <f t="shared" si="3"/>
        <v>8.8863900194240536E-3</v>
      </c>
      <c r="U37" s="376">
        <f t="shared" si="3"/>
        <v>1.1008662961298772E-2</v>
      </c>
      <c r="V37" s="376">
        <f t="shared" si="3"/>
        <v>1.4886350881909899E-2</v>
      </c>
      <c r="W37" s="376">
        <f t="shared" si="3"/>
        <v>3.4478500496379141E-3</v>
      </c>
      <c r="X37" s="376">
        <f t="shared" si="3"/>
        <v>2.061317388220223E-2</v>
      </c>
      <c r="Y37" s="376">
        <f t="shared" si="3"/>
        <v>2.652031435671235E-2</v>
      </c>
      <c r="Z37" s="376">
        <f t="shared" si="3"/>
        <v>2.615668036504654E-2</v>
      </c>
      <c r="AA37" s="376">
        <f t="shared" si="3"/>
        <v>1.896677412488481E-2</v>
      </c>
      <c r="AB37" s="376">
        <f t="shared" si="3"/>
        <v>6.4776334729812817E-3</v>
      </c>
      <c r="AC37" s="376">
        <f t="shared" si="3"/>
        <v>1.6622347055730544E-2</v>
      </c>
      <c r="AD37" s="376">
        <f t="shared" si="3"/>
        <v>2.5022517191452998E-3</v>
      </c>
      <c r="AE37" s="376">
        <f t="shared" si="3"/>
        <v>6.2524803024715039E-3</v>
      </c>
      <c r="AF37" s="376">
        <f t="shared" si="3"/>
        <v>8.4870674133184654E-3</v>
      </c>
      <c r="AG37" s="376">
        <f t="shared" si="3"/>
        <v>4.2537679416824051E-3</v>
      </c>
      <c r="AH37" s="376">
        <f t="shared" si="3"/>
        <v>3.2852494233027309E-2</v>
      </c>
      <c r="AI37" s="376">
        <f t="shared" si="3"/>
        <v>5.300733933356911E-3</v>
      </c>
      <c r="AJ37" s="376">
        <f t="shared" si="3"/>
        <v>7.7865733884247584E-2</v>
      </c>
      <c r="AK37" s="376">
        <f t="shared" si="3"/>
        <v>2.9458477009372087E-2</v>
      </c>
      <c r="AL37" s="376">
        <f t="shared" si="3"/>
        <v>2.8981254255361182E-3</v>
      </c>
      <c r="AM37" s="376">
        <f t="shared" si="3"/>
        <v>3.2622392641187645E-2</v>
      </c>
      <c r="AN37" s="376">
        <f t="shared" si="3"/>
        <v>1.0368892064209215E-2</v>
      </c>
      <c r="AO37" s="376">
        <f t="shared" si="3"/>
        <v>1.4053516576874063E-2</v>
      </c>
      <c r="AP37" s="376">
        <f t="shared" si="3"/>
        <v>3.8338644014093405E-2</v>
      </c>
      <c r="AQ37" s="376">
        <f t="shared" si="3"/>
        <v>3.2820029590060031E-3</v>
      </c>
      <c r="AR37" s="376">
        <f t="shared" si="3"/>
        <v>1.1291097857506009E-2</v>
      </c>
      <c r="AS37" s="376">
        <f t="shared" si="3"/>
        <v>2.6980142659987897E-3</v>
      </c>
      <c r="AT37" s="376">
        <f t="shared" si="3"/>
        <v>1.8033471871636151E-2</v>
      </c>
      <c r="AU37" s="376">
        <f t="shared" si="3"/>
        <v>9.0847917243201487E-2</v>
      </c>
      <c r="AV37" s="376">
        <f t="shared" si="3"/>
        <v>8.3829256371486093E-3</v>
      </c>
      <c r="AW37" s="376">
        <f t="shared" si="3"/>
        <v>1.7928280430335713E-3</v>
      </c>
      <c r="AX37" s="376">
        <f t="shared" si="3"/>
        <v>2.89236726253407E-2</v>
      </c>
      <c r="AY37" s="376">
        <f t="shared" si="3"/>
        <v>2.4379597298971694E-2</v>
      </c>
      <c r="AZ37" s="376">
        <f t="shared" si="3"/>
        <v>4.2274513373371063E-3</v>
      </c>
      <c r="BA37" s="376">
        <f t="shared" si="3"/>
        <v>1.6876665921654346E-2</v>
      </c>
      <c r="BB37" s="376">
        <f t="shared" si="3"/>
        <v>2.3469012798192058E-3</v>
      </c>
      <c r="BC37" s="11">
        <f>SUM(E37:BB37)</f>
        <v>1</v>
      </c>
    </row>
    <row r="38" spans="2:56" x14ac:dyDescent="0.2">
      <c r="B38" s="7" t="s">
        <v>101</v>
      </c>
      <c r="C38" s="7" t="s">
        <v>98</v>
      </c>
      <c r="D38" s="377">
        <f>(D36*1000000)/D34</f>
        <v>42890.435219101535</v>
      </c>
      <c r="E38" s="377">
        <f>(E36*1000000)/E34</f>
        <v>32739.838070283069</v>
      </c>
      <c r="F38" s="377">
        <f t="shared" ref="F38:BB38" si="4">(F36*1000000)/F34</f>
        <v>61796.479982317025</v>
      </c>
      <c r="G38" s="377">
        <f t="shared" si="4"/>
        <v>35662.558573380142</v>
      </c>
      <c r="H38" s="377">
        <f t="shared" si="4"/>
        <v>31951.465026329024</v>
      </c>
      <c r="I38" s="377">
        <f t="shared" si="4"/>
        <v>46465.479067697102</v>
      </c>
      <c r="J38" s="377">
        <f t="shared" si="4"/>
        <v>46886.208046358486</v>
      </c>
      <c r="K38" s="377">
        <f t="shared" si="4"/>
        <v>54981.198683921815</v>
      </c>
      <c r="L38" s="377">
        <f t="shared" si="4"/>
        <v>61785.831873384741</v>
      </c>
      <c r="M38" s="377">
        <f t="shared" si="4"/>
        <v>35230.990959038296</v>
      </c>
      <c r="N38" s="377">
        <f t="shared" si="4"/>
        <v>38114.805053982389</v>
      </c>
      <c r="O38" s="377">
        <f t="shared" si="4"/>
        <v>44899.28011093301</v>
      </c>
      <c r="P38" s="377">
        <f t="shared" si="4"/>
        <v>32187.020124464561</v>
      </c>
      <c r="Q38" s="377">
        <f t="shared" si="4"/>
        <v>46206.256543672069</v>
      </c>
      <c r="R38" s="377">
        <f t="shared" si="4"/>
        <v>39190.633165514511</v>
      </c>
      <c r="S38" s="377">
        <f t="shared" si="4"/>
        <v>42361.256840106566</v>
      </c>
      <c r="T38" s="377">
        <f t="shared" si="4"/>
        <v>41291.659031224372</v>
      </c>
      <c r="U38" s="377">
        <f t="shared" si="4"/>
        <v>33623.827348726096</v>
      </c>
      <c r="V38" s="377">
        <f t="shared" si="4"/>
        <v>43400.689783914633</v>
      </c>
      <c r="W38" s="377">
        <f t="shared" si="4"/>
        <v>34613.832887732737</v>
      </c>
      <c r="X38" s="377">
        <f t="shared" si="4"/>
        <v>47080.505215108227</v>
      </c>
      <c r="Y38" s="377">
        <f t="shared" si="4"/>
        <v>53536.679187219983</v>
      </c>
      <c r="Z38" s="377">
        <f t="shared" si="4"/>
        <v>35321.861805254557</v>
      </c>
      <c r="AA38" s="377">
        <f t="shared" si="4"/>
        <v>47308.183065880548</v>
      </c>
      <c r="AB38" s="377">
        <f t="shared" si="4"/>
        <v>29016.707881927428</v>
      </c>
      <c r="AC38" s="377">
        <f t="shared" si="4"/>
        <v>36895.089086607652</v>
      </c>
      <c r="AD38" s="377">
        <f t="shared" si="4"/>
        <v>33452.043617760231</v>
      </c>
      <c r="AE38" s="377">
        <f t="shared" si="4"/>
        <v>45267.3221751417</v>
      </c>
      <c r="AF38" s="377">
        <f t="shared" si="4"/>
        <v>41616.115716455861</v>
      </c>
      <c r="AG38" s="377">
        <f t="shared" si="4"/>
        <v>43052.586607902369</v>
      </c>
      <c r="AH38" s="377">
        <f t="shared" si="4"/>
        <v>49596.407287431153</v>
      </c>
      <c r="AI38" s="377">
        <f t="shared" si="4"/>
        <v>34011.586232376983</v>
      </c>
      <c r="AJ38" s="377">
        <f t="shared" si="4"/>
        <v>53254.099557698195</v>
      </c>
      <c r="AK38" s="377">
        <f t="shared" si="4"/>
        <v>40710.89076554255</v>
      </c>
      <c r="AL38" s="377">
        <f t="shared" si="4"/>
        <v>56450.623594356985</v>
      </c>
      <c r="AM38" s="377">
        <f t="shared" si="4"/>
        <v>37700.696308389728</v>
      </c>
      <c r="AN38" s="377">
        <f t="shared" si="4"/>
        <v>36545.994451084691</v>
      </c>
      <c r="AO38" s="377">
        <f t="shared" si="4"/>
        <v>48456.283224183469</v>
      </c>
      <c r="AP38" s="377">
        <f t="shared" si="4"/>
        <v>40124.535975821622</v>
      </c>
      <c r="AQ38" s="377">
        <f t="shared" si="4"/>
        <v>41663.890596832804</v>
      </c>
      <c r="AR38" s="377">
        <f t="shared" si="4"/>
        <v>32224.435244283115</v>
      </c>
      <c r="AS38" s="377">
        <f t="shared" si="4"/>
        <v>43692.697728125422</v>
      </c>
      <c r="AT38" s="377">
        <f t="shared" si="4"/>
        <v>37582.969558205608</v>
      </c>
      <c r="AU38" s="377">
        <f t="shared" si="4"/>
        <v>47273.037399122295</v>
      </c>
      <c r="AV38" s="377">
        <f t="shared" si="4"/>
        <v>39727.865824647779</v>
      </c>
      <c r="AW38" s="377">
        <f t="shared" si="4"/>
        <v>38161.993769470406</v>
      </c>
      <c r="AX38" s="377">
        <f t="shared" si="4"/>
        <v>47600.409852247867</v>
      </c>
      <c r="AY38" s="377">
        <f t="shared" si="4"/>
        <v>47655.324055177676</v>
      </c>
      <c r="AZ38" s="377">
        <f t="shared" si="4"/>
        <v>30397.194901310468</v>
      </c>
      <c r="BA38" s="377">
        <f t="shared" si="4"/>
        <v>39422.099696961894</v>
      </c>
      <c r="BB38" s="377">
        <f t="shared" si="4"/>
        <v>55171.708768392331</v>
      </c>
      <c r="BC38" s="12">
        <f>AVERAGE(E38:BB38)/D38</f>
        <v>0.98546966918288725</v>
      </c>
    </row>
    <row r="39" spans="2:56" x14ac:dyDescent="0.2">
      <c r="B39" s="7" t="s">
        <v>101</v>
      </c>
      <c r="C39" s="7" t="s">
        <v>102</v>
      </c>
      <c r="D39" s="378" t="s">
        <v>103</v>
      </c>
      <c r="E39" s="383">
        <f>RANK(E38,$E$38:$BB$38)</f>
        <v>45</v>
      </c>
      <c r="F39" s="383">
        <f t="shared" ref="F39:BB39" si="5">RANK(F38,$E$38:$BB$38)</f>
        <v>1</v>
      </c>
      <c r="G39" s="383">
        <f t="shared" si="5"/>
        <v>38</v>
      </c>
      <c r="H39" s="383">
        <f t="shared" si="5"/>
        <v>48</v>
      </c>
      <c r="I39" s="383">
        <f t="shared" si="5"/>
        <v>16</v>
      </c>
      <c r="J39" s="383">
        <f t="shared" si="5"/>
        <v>15</v>
      </c>
      <c r="K39" s="383">
        <f t="shared" si="5"/>
        <v>5</v>
      </c>
      <c r="L39" s="383">
        <f t="shared" si="5"/>
        <v>2</v>
      </c>
      <c r="M39" s="383">
        <f t="shared" si="5"/>
        <v>40</v>
      </c>
      <c r="N39" s="383">
        <f t="shared" si="5"/>
        <v>33</v>
      </c>
      <c r="O39" s="383">
        <f t="shared" si="5"/>
        <v>19</v>
      </c>
      <c r="P39" s="383">
        <f t="shared" si="5"/>
        <v>47</v>
      </c>
      <c r="Q39" s="383">
        <f t="shared" si="5"/>
        <v>17</v>
      </c>
      <c r="R39" s="383">
        <f t="shared" si="5"/>
        <v>31</v>
      </c>
      <c r="S39" s="383">
        <f t="shared" si="5"/>
        <v>23</v>
      </c>
      <c r="T39" s="383">
        <f t="shared" si="5"/>
        <v>26</v>
      </c>
      <c r="U39" s="383">
        <f t="shared" si="5"/>
        <v>43</v>
      </c>
      <c r="V39" s="383">
        <f t="shared" si="5"/>
        <v>21</v>
      </c>
      <c r="W39" s="383">
        <f t="shared" si="5"/>
        <v>41</v>
      </c>
      <c r="X39" s="383">
        <f t="shared" si="5"/>
        <v>14</v>
      </c>
      <c r="Y39" s="383">
        <f t="shared" si="5"/>
        <v>6</v>
      </c>
      <c r="Z39" s="383">
        <f t="shared" si="5"/>
        <v>39</v>
      </c>
      <c r="AA39" s="383">
        <f t="shared" si="5"/>
        <v>12</v>
      </c>
      <c r="AB39" s="383">
        <f t="shared" si="5"/>
        <v>50</v>
      </c>
      <c r="AC39" s="383">
        <f t="shared" si="5"/>
        <v>36</v>
      </c>
      <c r="AD39" s="383">
        <f t="shared" si="5"/>
        <v>44</v>
      </c>
      <c r="AE39" s="383">
        <f t="shared" si="5"/>
        <v>18</v>
      </c>
      <c r="AF39" s="383">
        <f t="shared" si="5"/>
        <v>25</v>
      </c>
      <c r="AG39" s="383">
        <f t="shared" si="5"/>
        <v>22</v>
      </c>
      <c r="AH39" s="383">
        <f t="shared" si="5"/>
        <v>8</v>
      </c>
      <c r="AI39" s="383">
        <f t="shared" si="5"/>
        <v>42</v>
      </c>
      <c r="AJ39" s="383">
        <f t="shared" si="5"/>
        <v>7</v>
      </c>
      <c r="AK39" s="383">
        <f t="shared" si="5"/>
        <v>27</v>
      </c>
      <c r="AL39" s="383">
        <f t="shared" si="5"/>
        <v>3</v>
      </c>
      <c r="AM39" s="383">
        <f t="shared" si="5"/>
        <v>34</v>
      </c>
      <c r="AN39" s="383">
        <f t="shared" si="5"/>
        <v>37</v>
      </c>
      <c r="AO39" s="383">
        <f t="shared" si="5"/>
        <v>9</v>
      </c>
      <c r="AP39" s="383">
        <f t="shared" si="5"/>
        <v>28</v>
      </c>
      <c r="AQ39" s="383">
        <f t="shared" si="5"/>
        <v>24</v>
      </c>
      <c r="AR39" s="383">
        <f t="shared" si="5"/>
        <v>46</v>
      </c>
      <c r="AS39" s="383">
        <f t="shared" si="5"/>
        <v>20</v>
      </c>
      <c r="AT39" s="383">
        <f t="shared" si="5"/>
        <v>35</v>
      </c>
      <c r="AU39" s="383">
        <f t="shared" si="5"/>
        <v>13</v>
      </c>
      <c r="AV39" s="383">
        <f t="shared" si="5"/>
        <v>29</v>
      </c>
      <c r="AW39" s="383">
        <f t="shared" si="5"/>
        <v>32</v>
      </c>
      <c r="AX39" s="383">
        <f t="shared" si="5"/>
        <v>11</v>
      </c>
      <c r="AY39" s="383">
        <f t="shared" si="5"/>
        <v>10</v>
      </c>
      <c r="AZ39" s="383">
        <f t="shared" si="5"/>
        <v>49</v>
      </c>
      <c r="BA39" s="383">
        <f t="shared" si="5"/>
        <v>30</v>
      </c>
      <c r="BB39" s="383">
        <f t="shared" si="5"/>
        <v>4</v>
      </c>
      <c r="BC39" s="13"/>
    </row>
    <row r="40" spans="2:56" x14ac:dyDescent="0.2">
      <c r="B40" s="207" t="s">
        <v>1000</v>
      </c>
      <c r="C40" s="7" t="s">
        <v>1001</v>
      </c>
      <c r="D40" s="379">
        <f t="shared" ref="D40:BB40" si="6">D6*1000000000/D34</f>
        <v>55617.501585093189</v>
      </c>
      <c r="E40" s="379">
        <f t="shared" si="6"/>
        <v>-196315.02051340998</v>
      </c>
      <c r="F40" s="379">
        <f t="shared" si="6"/>
        <v>90230940.051680416</v>
      </c>
      <c r="G40" s="379">
        <f t="shared" si="6"/>
        <v>2638258.3077328904</v>
      </c>
      <c r="H40" s="379">
        <f t="shared" si="6"/>
        <v>265230.44284747972</v>
      </c>
      <c r="I40" s="379">
        <f t="shared" si="6"/>
        <v>648156.52447581652</v>
      </c>
      <c r="J40" s="379">
        <f t="shared" si="6"/>
        <v>4196776.0628160173</v>
      </c>
      <c r="K40" s="379">
        <f t="shared" si="6"/>
        <v>8339205.4632536815</v>
      </c>
      <c r="L40" s="379">
        <f t="shared" si="6"/>
        <v>24564144.044067614</v>
      </c>
      <c r="M40" s="379">
        <f t="shared" si="6"/>
        <v>1036094.5307773916</v>
      </c>
      <c r="N40" s="379">
        <f t="shared" si="6"/>
        <v>1237102.7520931116</v>
      </c>
      <c r="O40" s="379">
        <f t="shared" si="6"/>
        <v>21617182.949607681</v>
      </c>
      <c r="P40" s="379">
        <f t="shared" si="6"/>
        <v>12221228.366473272</v>
      </c>
      <c r="Q40" s="379">
        <f t="shared" si="6"/>
        <v>1395366.7285505212</v>
      </c>
      <c r="R40" s="379">
        <f t="shared" si="6"/>
        <v>1110732.8857790919</v>
      </c>
      <c r="S40" s="379">
        <f t="shared" si="6"/>
        <v>3530108.1435830565</v>
      </c>
      <c r="T40" s="379">
        <f t="shared" si="6"/>
        <v>4216028.9783498878</v>
      </c>
      <c r="U40" s="379">
        <f t="shared" si="6"/>
        <v>481752.02787382272</v>
      </c>
      <c r="V40" s="379">
        <f t="shared" si="6"/>
        <v>-2096901.2773776101</v>
      </c>
      <c r="W40" s="379">
        <f t="shared" si="6"/>
        <v>16092550.27512081</v>
      </c>
      <c r="X40" s="379">
        <f t="shared" si="6"/>
        <v>4698312.6969911344</v>
      </c>
      <c r="Y40" s="379">
        <f t="shared" si="6"/>
        <v>5301921.980055809</v>
      </c>
      <c r="Z40" s="379">
        <f t="shared" si="6"/>
        <v>1665861.7920409173</v>
      </c>
      <c r="AA40" s="379">
        <f t="shared" si="6"/>
        <v>4121665.5062099365</v>
      </c>
      <c r="AB40" s="379">
        <f t="shared" si="6"/>
        <v>111672.98446277538</v>
      </c>
      <c r="AC40" s="379">
        <f t="shared" si="6"/>
        <v>2121661.0544004561</v>
      </c>
      <c r="AD40" s="379">
        <f t="shared" si="6"/>
        <v>13950639.563916348</v>
      </c>
      <c r="AE40" s="379">
        <f t="shared" si="6"/>
        <v>7173889.2152970405</v>
      </c>
      <c r="AF40" s="379">
        <f t="shared" si="6"/>
        <v>9092775.570533419</v>
      </c>
      <c r="AG40" s="379">
        <f t="shared" si="6"/>
        <v>20668268.434913356</v>
      </c>
      <c r="AH40" s="379">
        <f t="shared" si="6"/>
        <v>3044529.0613573287</v>
      </c>
      <c r="AI40" s="379">
        <f t="shared" si="6"/>
        <v>4413800.6929764263</v>
      </c>
      <c r="AJ40" s="379">
        <f t="shared" si="6"/>
        <v>1479087.9137686493</v>
      </c>
      <c r="AK40" s="379">
        <f t="shared" si="6"/>
        <v>1356420.5780306421</v>
      </c>
      <c r="AL40" s="379">
        <f t="shared" si="6"/>
        <v>-11128803.472988408</v>
      </c>
      <c r="AM40" s="379">
        <f t="shared" si="6"/>
        <v>1275220.9976941098</v>
      </c>
      <c r="AN40" s="379">
        <f t="shared" si="6"/>
        <v>1578867.3181681682</v>
      </c>
      <c r="AO40" s="379">
        <f t="shared" si="6"/>
        <v>6444347.8841451565</v>
      </c>
      <c r="AP40" s="379">
        <f t="shared" si="6"/>
        <v>1288294.7650925531</v>
      </c>
      <c r="AQ40" s="379">
        <f t="shared" si="6"/>
        <v>25729705.870267738</v>
      </c>
      <c r="AR40" s="379">
        <f t="shared" si="6"/>
        <v>1523927.5368430438</v>
      </c>
      <c r="AS40" s="379">
        <f t="shared" si="6"/>
        <v>27640260.79247687</v>
      </c>
      <c r="AT40" s="379">
        <f t="shared" si="6"/>
        <v>1790221.7887658535</v>
      </c>
      <c r="AU40" s="379">
        <f t="shared" si="6"/>
        <v>240394.62918351943</v>
      </c>
      <c r="AV40" s="379">
        <f t="shared" si="6"/>
        <v>5995166.841231388</v>
      </c>
      <c r="AW40" s="379">
        <f t="shared" si="6"/>
        <v>40665334.722456761</v>
      </c>
      <c r="AX40" s="379">
        <f t="shared" si="6"/>
        <v>2765083.5413120319</v>
      </c>
      <c r="AY40" s="379">
        <f t="shared" si="6"/>
        <v>4273278.0744213155</v>
      </c>
      <c r="AZ40" s="379">
        <f t="shared" si="6"/>
        <v>-2654720.2549205055</v>
      </c>
      <c r="BA40" s="379">
        <f t="shared" si="6"/>
        <v>2987257.431491578</v>
      </c>
      <c r="BB40" s="379">
        <f t="shared" si="6"/>
        <v>-56230826.741259806</v>
      </c>
    </row>
    <row r="41" spans="2:56" x14ac:dyDescent="0.2">
      <c r="B41" s="7" t="s">
        <v>1002</v>
      </c>
      <c r="C41" s="7" t="s">
        <v>1001</v>
      </c>
      <c r="D41" s="379">
        <f>((D22-D23-D24-D25+D26-D27+D28+D29-D30-D31)/D34)*10000000000</f>
        <v>87167.45068267177</v>
      </c>
      <c r="E41" s="379">
        <f t="shared" ref="E41:BB41" si="7">((E22-E23-E24-E25+E26-E27+E28+E29-E30-E31)/E34)*10000000000</f>
        <v>-4157269.7337443735</v>
      </c>
      <c r="F41" s="379">
        <f t="shared" si="7"/>
        <v>44898757.504362278</v>
      </c>
      <c r="G41" s="379">
        <f t="shared" si="7"/>
        <v>1102323.5183268019</v>
      </c>
      <c r="H41" s="379">
        <f t="shared" si="7"/>
        <v>-5890644.7935414398</v>
      </c>
      <c r="I41" s="379">
        <f t="shared" si="7"/>
        <v>1116447.6883558966</v>
      </c>
      <c r="J41" s="379">
        <f t="shared" si="7"/>
        <v>8835627.9480419382</v>
      </c>
      <c r="K41" s="379">
        <f t="shared" si="7"/>
        <v>16749293.671436381</v>
      </c>
      <c r="L41" s="379">
        <f t="shared" si="7"/>
        <v>17831805.187370483</v>
      </c>
      <c r="M41" s="379">
        <f t="shared" si="7"/>
        <v>537174.65905403497</v>
      </c>
      <c r="N41" s="379">
        <f t="shared" si="7"/>
        <v>727826.50349756656</v>
      </c>
      <c r="O41" s="379">
        <f t="shared" si="7"/>
        <v>51733381.32539589</v>
      </c>
      <c r="P41" s="379">
        <f t="shared" si="7"/>
        <v>18533238.458410133</v>
      </c>
      <c r="Q41" s="379">
        <f t="shared" si="7"/>
        <v>3459611.6415249188</v>
      </c>
      <c r="R41" s="379">
        <f t="shared" si="7"/>
        <v>1792526.6894936771</v>
      </c>
      <c r="S41" s="379">
        <f t="shared" si="7"/>
        <v>10325379.583587635</v>
      </c>
      <c r="T41" s="379">
        <f t="shared" si="7"/>
        <v>9415654.790974861</v>
      </c>
      <c r="U41" s="379">
        <f t="shared" si="7"/>
        <v>-2416272.0890629054</v>
      </c>
      <c r="V41" s="379">
        <f t="shared" si="7"/>
        <v>-2436590.6130857593</v>
      </c>
      <c r="W41" s="379">
        <f t="shared" si="7"/>
        <v>28459013.639397025</v>
      </c>
      <c r="X41" s="379">
        <f t="shared" si="7"/>
        <v>5744404.2131923791</v>
      </c>
      <c r="Y41" s="379">
        <f t="shared" si="7"/>
        <v>11350064.217825452</v>
      </c>
      <c r="Z41" s="379">
        <f t="shared" si="7"/>
        <v>3711223.2642736048</v>
      </c>
      <c r="AA41" s="379">
        <f t="shared" si="7"/>
        <v>10697919.648726219</v>
      </c>
      <c r="AB41" s="379">
        <f t="shared" si="7"/>
        <v>-11603278.407600861</v>
      </c>
      <c r="AC41" s="379">
        <f t="shared" si="7"/>
        <v>2013923.8554559401</v>
      </c>
      <c r="AD41" s="379">
        <f t="shared" si="7"/>
        <v>13286316.856780641</v>
      </c>
      <c r="AE41" s="379">
        <f t="shared" si="7"/>
        <v>24317294.819018479</v>
      </c>
      <c r="AF41" s="379">
        <f t="shared" si="7"/>
        <v>17051684.581413716</v>
      </c>
      <c r="AG41" s="379">
        <f t="shared" si="7"/>
        <v>39805068.212077573</v>
      </c>
      <c r="AH41" s="379">
        <f t="shared" si="7"/>
        <v>5080098.3208100162</v>
      </c>
      <c r="AI41" s="379">
        <f t="shared" si="7"/>
        <v>-188776.17432046426</v>
      </c>
      <c r="AJ41" s="379">
        <f t="shared" si="7"/>
        <v>3565201.6324024494</v>
      </c>
      <c r="AK41" s="379">
        <f t="shared" si="7"/>
        <v>1069095.8110746646</v>
      </c>
      <c r="AL41" s="379">
        <f t="shared" si="7"/>
        <v>45200380.542321689</v>
      </c>
      <c r="AM41" s="379">
        <f t="shared" si="7"/>
        <v>2587227.3619497805</v>
      </c>
      <c r="AN41" s="379">
        <f t="shared" si="7"/>
        <v>-3898773.833114034</v>
      </c>
      <c r="AO41" s="379">
        <f t="shared" si="7"/>
        <v>11722151.648410996</v>
      </c>
      <c r="AP41" s="379">
        <f t="shared" si="7"/>
        <v>2132393.8304435508</v>
      </c>
      <c r="AQ41" s="379">
        <f t="shared" si="7"/>
        <v>55400681.6386998</v>
      </c>
      <c r="AR41" s="379">
        <f t="shared" si="7"/>
        <v>-3206931.4108025567</v>
      </c>
      <c r="AS41" s="379">
        <f t="shared" si="7"/>
        <v>69228710.618283778</v>
      </c>
      <c r="AT41" s="379">
        <f t="shared" si="7"/>
        <v>-672160.31608486816</v>
      </c>
      <c r="AU41" s="379">
        <f t="shared" si="7"/>
        <v>188495.85123245817</v>
      </c>
      <c r="AV41" s="379">
        <f t="shared" si="7"/>
        <v>9960402.7167756166</v>
      </c>
      <c r="AW41" s="379">
        <f t="shared" si="7"/>
        <v>94072760.313918009</v>
      </c>
      <c r="AX41" s="379">
        <f t="shared" si="7"/>
        <v>3548659.7536300169</v>
      </c>
      <c r="AY41" s="379">
        <f t="shared" si="7"/>
        <v>7817903.5933636418</v>
      </c>
      <c r="AZ41" s="379">
        <f t="shared" si="7"/>
        <v>-7919655.0604939582</v>
      </c>
      <c r="BA41" s="379">
        <f t="shared" si="7"/>
        <v>5106156.2991213808</v>
      </c>
      <c r="BB41" s="379">
        <f t="shared" si="7"/>
        <v>-50848419.004785202</v>
      </c>
    </row>
    <row r="43" spans="2:56" x14ac:dyDescent="0.2">
      <c r="B43" s="7" t="s">
        <v>1003</v>
      </c>
      <c r="C43" s="7" t="s">
        <v>1001</v>
      </c>
      <c r="E43" s="372">
        <f>E21*100000000/E34</f>
        <v>288798.62135148508</v>
      </c>
      <c r="F43" s="372">
        <f t="shared" ref="F43:BB43" si="8">F21*100000000/F34</f>
        <v>3159359.3017057129</v>
      </c>
      <c r="G43" s="372">
        <f t="shared" si="8"/>
        <v>113262.8988482507</v>
      </c>
      <c r="H43" s="372">
        <f t="shared" si="8"/>
        <v>366948.76404556946</v>
      </c>
      <c r="I43" s="372">
        <f t="shared" si="8"/>
        <v>12069.616071279645</v>
      </c>
      <c r="J43" s="372">
        <f t="shared" si="8"/>
        <v>142323.8323222113</v>
      </c>
      <c r="K43" s="372">
        <f t="shared" si="8"/>
        <v>165991.85029480697</v>
      </c>
      <c r="L43" s="372">
        <f t="shared" si="8"/>
        <v>688057.88511295954</v>
      </c>
      <c r="M43" s="372">
        <f t="shared" si="8"/>
        <v>29668.570847230145</v>
      </c>
      <c r="N43" s="372">
        <f t="shared" si="8"/>
        <v>75321.931256590673</v>
      </c>
      <c r="O43" s="372">
        <f t="shared" si="8"/>
        <v>396284.48113831028</v>
      </c>
      <c r="P43" s="372">
        <f t="shared" si="8"/>
        <v>269251.16220427683</v>
      </c>
      <c r="Q43" s="372">
        <f t="shared" si="8"/>
        <v>74631.713945300187</v>
      </c>
      <c r="R43" s="372">
        <f t="shared" si="8"/>
        <v>185726.89798492895</v>
      </c>
      <c r="S43" s="372">
        <f t="shared" si="8"/>
        <v>369139.96932765946</v>
      </c>
      <c r="T43" s="372">
        <f t="shared" si="8"/>
        <v>385119.83799332113</v>
      </c>
      <c r="U43" s="372">
        <f t="shared" si="8"/>
        <v>286512.92077012936</v>
      </c>
      <c r="V43" s="372">
        <f t="shared" si="8"/>
        <v>505612.59014013031</v>
      </c>
      <c r="W43" s="372">
        <f t="shared" si="8"/>
        <v>475912.85176941293</v>
      </c>
      <c r="X43" s="372">
        <f t="shared" si="8"/>
        <v>89876.916845212385</v>
      </c>
      <c r="Y43" s="372">
        <f t="shared" si="8"/>
        <v>74243.982655646701</v>
      </c>
      <c r="Z43" s="372">
        <f t="shared" si="8"/>
        <v>77531.574133357251</v>
      </c>
      <c r="AA43" s="372">
        <f t="shared" si="8"/>
        <v>149353.59991997364</v>
      </c>
      <c r="AB43" s="372">
        <f t="shared" si="8"/>
        <v>345579.42725722742</v>
      </c>
      <c r="AC43" s="372">
        <f t="shared" si="8"/>
        <v>149476.53079496455</v>
      </c>
      <c r="AD43" s="372">
        <f t="shared" si="8"/>
        <v>1201162.4472636066</v>
      </c>
      <c r="AE43" s="372">
        <f t="shared" si="8"/>
        <v>653442.36104132095</v>
      </c>
      <c r="AF43" s="372">
        <f t="shared" si="8"/>
        <v>214343.69263890618</v>
      </c>
      <c r="AG43" s="372">
        <f t="shared" si="8"/>
        <v>592920.47624800191</v>
      </c>
      <c r="AH43" s="372">
        <f t="shared" si="8"/>
        <v>78118.44671609145</v>
      </c>
      <c r="AI43" s="372">
        <f t="shared" si="8"/>
        <v>528717.82175451168</v>
      </c>
      <c r="AJ43" s="372">
        <f t="shared" si="8"/>
        <v>23314.493723102161</v>
      </c>
      <c r="AK43" s="372">
        <f t="shared" si="8"/>
        <v>68056.745932401798</v>
      </c>
      <c r="AL43" s="372">
        <f t="shared" si="8"/>
        <v>4052202.1433657459</v>
      </c>
      <c r="AM43" s="372">
        <f t="shared" si="8"/>
        <v>72797.741164045758</v>
      </c>
      <c r="AN43" s="372">
        <f t="shared" si="8"/>
        <v>317145.12311768858</v>
      </c>
      <c r="AO43" s="372">
        <f t="shared" si="8"/>
        <v>106263.92593145171</v>
      </c>
      <c r="AP43" s="372">
        <f t="shared" si="8"/>
        <v>76808.264273587934</v>
      </c>
      <c r="AQ43" s="372">
        <f t="shared" si="8"/>
        <v>478087.79500476603</v>
      </c>
      <c r="AR43" s="372">
        <f t="shared" si="8"/>
        <v>225521.82392381775</v>
      </c>
      <c r="AS43" s="372">
        <f t="shared" si="8"/>
        <v>886754.22956073727</v>
      </c>
      <c r="AT43" s="372">
        <f t="shared" si="8"/>
        <v>120229.87171441116</v>
      </c>
      <c r="AU43" s="372">
        <f t="shared" si="8"/>
        <v>50013.35146862828</v>
      </c>
      <c r="AV43" s="372">
        <f t="shared" si="8"/>
        <v>315573.73292817629</v>
      </c>
      <c r="AW43" s="372">
        <f t="shared" si="8"/>
        <v>1111221.0345690756</v>
      </c>
      <c r="AX43" s="372">
        <f t="shared" si="8"/>
        <v>74361.366940747583</v>
      </c>
      <c r="AY43" s="372">
        <f t="shared" si="8"/>
        <v>63036.55690557976</v>
      </c>
      <c r="AZ43" s="372">
        <f t="shared" si="8"/>
        <v>999153.71918521181</v>
      </c>
      <c r="BA43" s="372">
        <f t="shared" si="8"/>
        <v>131867.40980684667</v>
      </c>
      <c r="BB43" s="372">
        <f t="shared" si="8"/>
        <v>7284777.4413796673</v>
      </c>
    </row>
    <row r="45" spans="2:56" x14ac:dyDescent="0.2">
      <c r="D45" s="18" t="s">
        <v>95</v>
      </c>
      <c r="E45" s="18" t="s">
        <v>170</v>
      </c>
      <c r="F45" s="18" t="s">
        <v>171</v>
      </c>
      <c r="G45" s="18" t="s">
        <v>172</v>
      </c>
      <c r="H45" s="18" t="s">
        <v>173</v>
      </c>
      <c r="I45" s="18" t="s">
        <v>174</v>
      </c>
      <c r="J45" s="18" t="s">
        <v>175</v>
      </c>
      <c r="K45" s="18" t="s">
        <v>176</v>
      </c>
      <c r="L45" s="18" t="s">
        <v>177</v>
      </c>
      <c r="M45" s="18" t="s">
        <v>178</v>
      </c>
      <c r="N45" s="18" t="s">
        <v>179</v>
      </c>
      <c r="O45" s="18" t="s">
        <v>180</v>
      </c>
      <c r="P45" s="18" t="s">
        <v>181</v>
      </c>
      <c r="Q45" s="18" t="s">
        <v>182</v>
      </c>
      <c r="R45" s="18" t="s">
        <v>183</v>
      </c>
      <c r="S45" s="18" t="s">
        <v>184</v>
      </c>
      <c r="T45" s="18" t="s">
        <v>185</v>
      </c>
      <c r="U45" s="18" t="s">
        <v>186</v>
      </c>
      <c r="V45" s="18" t="s">
        <v>187</v>
      </c>
      <c r="W45" s="18" t="s">
        <v>188</v>
      </c>
      <c r="X45" s="18" t="s">
        <v>189</v>
      </c>
      <c r="Y45" s="18" t="s">
        <v>190</v>
      </c>
      <c r="Z45" s="18" t="s">
        <v>191</v>
      </c>
      <c r="AA45" s="18" t="s">
        <v>192</v>
      </c>
      <c r="AB45" s="18" t="s">
        <v>193</v>
      </c>
      <c r="AC45" s="18" t="s">
        <v>194</v>
      </c>
      <c r="AD45" s="18" t="s">
        <v>195</v>
      </c>
      <c r="AE45" s="18" t="s">
        <v>196</v>
      </c>
      <c r="AF45" s="18" t="s">
        <v>197</v>
      </c>
      <c r="AG45" s="18" t="s">
        <v>198</v>
      </c>
      <c r="AH45" s="18" t="s">
        <v>199</v>
      </c>
      <c r="AI45" s="18" t="s">
        <v>200</v>
      </c>
      <c r="AJ45" s="18" t="s">
        <v>201</v>
      </c>
      <c r="AK45" s="18" t="s">
        <v>202</v>
      </c>
      <c r="AL45" s="18" t="s">
        <v>203</v>
      </c>
      <c r="AM45" s="18" t="s">
        <v>204</v>
      </c>
      <c r="AN45" s="18" t="s">
        <v>205</v>
      </c>
      <c r="AO45" s="18" t="s">
        <v>206</v>
      </c>
      <c r="AP45" s="18" t="s">
        <v>207</v>
      </c>
      <c r="AQ45" s="18" t="s">
        <v>208</v>
      </c>
      <c r="AR45" s="18" t="s">
        <v>209</v>
      </c>
      <c r="AS45" s="18" t="s">
        <v>210</v>
      </c>
      <c r="AT45" s="18" t="s">
        <v>211</v>
      </c>
      <c r="AU45" s="18" t="s">
        <v>212</v>
      </c>
      <c r="AV45" s="18" t="s">
        <v>213</v>
      </c>
      <c r="AW45" s="18" t="s">
        <v>214</v>
      </c>
      <c r="AX45" s="18" t="s">
        <v>265</v>
      </c>
      <c r="AY45" s="18" t="s">
        <v>266</v>
      </c>
      <c r="AZ45" s="18" t="s">
        <v>267</v>
      </c>
      <c r="BA45" s="18" t="s">
        <v>215</v>
      </c>
      <c r="BB45" s="18" t="s">
        <v>216</v>
      </c>
    </row>
    <row r="46" spans="2:56" x14ac:dyDescent="0.2">
      <c r="B46" s="7" t="s">
        <v>90</v>
      </c>
      <c r="C46" s="7" t="s">
        <v>1004</v>
      </c>
      <c r="D46" s="384">
        <f>'GPI Summary'!C52</f>
        <v>14852580</v>
      </c>
      <c r="E46" s="384">
        <f>'GPI Summary'!D52</f>
        <v>178533</v>
      </c>
      <c r="F46" s="384">
        <f>'GPI Summary'!E52</f>
        <v>51237</v>
      </c>
      <c r="G46" s="384">
        <f>'GPI Summary'!F52</f>
        <v>255989</v>
      </c>
      <c r="H46" s="384">
        <f>'GPI Summary'!G52</f>
        <v>106557</v>
      </c>
      <c r="I46" s="384">
        <f>'GPI Summary'!H52</f>
        <v>1908985</v>
      </c>
      <c r="J46" s="384">
        <f>'GPI Summary'!I52</f>
        <v>264733</v>
      </c>
      <c r="K46" s="384">
        <f>'GPI Summary'!J52</f>
        <v>225409</v>
      </c>
      <c r="L46" s="384">
        <f>'GPI Summary'!K52</f>
        <v>64377</v>
      </c>
      <c r="M46" s="384">
        <f>'GPI Summary'!L52</f>
        <v>746439</v>
      </c>
      <c r="N46" s="384">
        <f>'GPI Summary'!M52</f>
        <v>417438</v>
      </c>
      <c r="O46" s="384">
        <f>'GPI Summary'!N52</f>
        <v>70006</v>
      </c>
      <c r="P46" s="384">
        <f>'GPI Summary'!O52</f>
        <v>57096</v>
      </c>
      <c r="Q46" s="384">
        <f>'GPI Summary'!P52</f>
        <v>670247</v>
      </c>
      <c r="R46" s="384">
        <f>'GPI Summary'!Q52</f>
        <v>284344</v>
      </c>
      <c r="S46" s="384">
        <f>'GPI Summary'!R52</f>
        <v>146057</v>
      </c>
      <c r="T46" s="384">
        <f>'GPI Summary'!S52</f>
        <v>134767</v>
      </c>
      <c r="U46" s="384">
        <f>'GPI Summary'!T52</f>
        <v>168019</v>
      </c>
      <c r="V46" s="384">
        <f>'GPI Summary'!U52</f>
        <v>237389</v>
      </c>
      <c r="W46" s="384">
        <f>'GPI Summary'!V52</f>
        <v>52489</v>
      </c>
      <c r="X46" s="384">
        <f>'GPI Summary'!W52</f>
        <v>305175</v>
      </c>
      <c r="Y46" s="384">
        <f>'GPI Summary'!X52</f>
        <v>388575</v>
      </c>
      <c r="Z46" s="384">
        <f>'GPI Summary'!Y52</f>
        <v>385123</v>
      </c>
      <c r="AA46" s="384">
        <f>'GPI Summary'!Z52</f>
        <v>279987</v>
      </c>
      <c r="AB46" s="384">
        <f>'GPI Summary'!AA52</f>
        <v>97533</v>
      </c>
      <c r="AC46" s="384">
        <f>'GPI Summary'!AB52</f>
        <v>249546</v>
      </c>
      <c r="AD46" s="384">
        <f>'GPI Summary'!AC52</f>
        <v>38933</v>
      </c>
      <c r="AE46" s="384">
        <f>'GPI Summary'!AD52</f>
        <v>96230</v>
      </c>
      <c r="AF46" s="384">
        <f>'GPI Summary'!AE52</f>
        <v>129421</v>
      </c>
      <c r="AG46" s="384">
        <f>'GPI Summary'!AF52</f>
        <v>63333</v>
      </c>
      <c r="AH46" s="384">
        <f>'GPI Summary'!AG52</f>
        <v>493175</v>
      </c>
      <c r="AI46" s="384">
        <f>'GPI Summary'!AH52</f>
        <v>79555</v>
      </c>
      <c r="AJ46" s="384">
        <f>'GPI Summary'!AI52</f>
        <v>1169436</v>
      </c>
      <c r="AK46" s="384">
        <f>'GPI Summary'!AJ52</f>
        <v>436144</v>
      </c>
      <c r="AL46" s="384">
        <f>'GPI Summary'!AK52</f>
        <v>39992</v>
      </c>
      <c r="AM46" s="384">
        <f>'GPI Summary'!AL52</f>
        <v>490265</v>
      </c>
      <c r="AN46" s="384">
        <f>'GPI Summary'!AM52</f>
        <v>156058</v>
      </c>
      <c r="AO46" s="384">
        <f>'GPI Summary'!AN52</f>
        <v>188981</v>
      </c>
      <c r="AP46" s="384">
        <f>'GPI Summary'!AO52</f>
        <v>581256</v>
      </c>
      <c r="AQ46" s="384">
        <f>'GPI Summary'!AP52</f>
        <v>49423</v>
      </c>
      <c r="AR46" s="384">
        <f>'GPI Summary'!AQ52</f>
        <v>168716</v>
      </c>
      <c r="AS46" s="384">
        <f>'GPI Summary'!AR52</f>
        <v>41667</v>
      </c>
      <c r="AT46" s="384">
        <f>'GPI Summary'!AS52</f>
        <v>263626</v>
      </c>
      <c r="AU46" s="384">
        <f>'GPI Summary'!AT52</f>
        <v>1321005</v>
      </c>
      <c r="AV46" s="384">
        <f>'GPI Summary'!AU52</f>
        <v>124454</v>
      </c>
      <c r="AW46" s="384">
        <f>'GPI Summary'!AV52</f>
        <v>26545</v>
      </c>
      <c r="AX46" s="384">
        <f>'GPI Summary'!AW52</f>
        <v>433611</v>
      </c>
      <c r="AY46" s="384">
        <f>'GPI Summary'!AX52</f>
        <v>357056</v>
      </c>
      <c r="AZ46" s="384">
        <f>'GPI Summary'!AY52</f>
        <v>66109</v>
      </c>
      <c r="BA46" s="384">
        <f>'GPI Summary'!AZ52</f>
        <v>253349</v>
      </c>
      <c r="BB46" s="384">
        <f>'GPI Summary'!BA52</f>
        <v>38190</v>
      </c>
    </row>
    <row r="47" spans="2:56" x14ac:dyDescent="0.2">
      <c r="B47" s="7" t="s">
        <v>90</v>
      </c>
      <c r="C47" s="7" t="s">
        <v>1005</v>
      </c>
      <c r="D47" s="384">
        <f>'GPI Summary'!C53</f>
        <v>14852.58</v>
      </c>
      <c r="E47" s="384">
        <f>'GPI Summary'!D53</f>
        <v>178.53299999999999</v>
      </c>
      <c r="F47" s="384">
        <f>'GPI Summary'!E53</f>
        <v>51.237000000000002</v>
      </c>
      <c r="G47" s="384">
        <f>'GPI Summary'!F53</f>
        <v>255.989</v>
      </c>
      <c r="H47" s="384">
        <f>'GPI Summary'!G53</f>
        <v>106.557</v>
      </c>
      <c r="I47" s="384">
        <f>'GPI Summary'!H53</f>
        <v>1908.9849999999999</v>
      </c>
      <c r="J47" s="384">
        <f>'GPI Summary'!I53</f>
        <v>264.733</v>
      </c>
      <c r="K47" s="384">
        <f>'GPI Summary'!J53</f>
        <v>225.40899999999999</v>
      </c>
      <c r="L47" s="384">
        <f>'GPI Summary'!K53</f>
        <v>64.376999999999995</v>
      </c>
      <c r="M47" s="384">
        <f>'GPI Summary'!L53</f>
        <v>746.43899999999996</v>
      </c>
      <c r="N47" s="384">
        <f>'GPI Summary'!M53</f>
        <v>417.43799999999999</v>
      </c>
      <c r="O47" s="384">
        <f>'GPI Summary'!N53</f>
        <v>70.006</v>
      </c>
      <c r="P47" s="384">
        <f>'GPI Summary'!O53</f>
        <v>57.095999999999997</v>
      </c>
      <c r="Q47" s="384">
        <f>'GPI Summary'!P53</f>
        <v>670.24699999999996</v>
      </c>
      <c r="R47" s="384">
        <f>'GPI Summary'!Q53</f>
        <v>284.34399999999999</v>
      </c>
      <c r="S47" s="384">
        <f>'GPI Summary'!R53</f>
        <v>146.05699999999999</v>
      </c>
      <c r="T47" s="384">
        <f>'GPI Summary'!S53</f>
        <v>134.767</v>
      </c>
      <c r="U47" s="384">
        <f>'GPI Summary'!T53</f>
        <v>168.01900000000001</v>
      </c>
      <c r="V47" s="384">
        <f>'GPI Summary'!U53</f>
        <v>237.38900000000001</v>
      </c>
      <c r="W47" s="384">
        <f>'GPI Summary'!V53</f>
        <v>52.488999999999997</v>
      </c>
      <c r="X47" s="384">
        <f>'GPI Summary'!W53</f>
        <v>305.17500000000001</v>
      </c>
      <c r="Y47" s="384">
        <f>'GPI Summary'!X53</f>
        <v>388.57499999999999</v>
      </c>
      <c r="Z47" s="384">
        <f>'GPI Summary'!Y53</f>
        <v>385.12299999999999</v>
      </c>
      <c r="AA47" s="384">
        <f>'GPI Summary'!Z53</f>
        <v>279.98700000000002</v>
      </c>
      <c r="AB47" s="384">
        <f>'GPI Summary'!AA53</f>
        <v>97.533000000000001</v>
      </c>
      <c r="AC47" s="384">
        <f>'GPI Summary'!AB53</f>
        <v>249.54599999999999</v>
      </c>
      <c r="AD47" s="384">
        <f>'GPI Summary'!AC53</f>
        <v>38.933</v>
      </c>
      <c r="AE47" s="384">
        <f>'GPI Summary'!AD53</f>
        <v>96.23</v>
      </c>
      <c r="AF47" s="384">
        <f>'GPI Summary'!AE53</f>
        <v>129.42099999999999</v>
      </c>
      <c r="AG47" s="384">
        <f>'GPI Summary'!AF53</f>
        <v>63.332999999999998</v>
      </c>
      <c r="AH47" s="384">
        <f>'GPI Summary'!AG53</f>
        <v>493.17500000000001</v>
      </c>
      <c r="AI47" s="384">
        <f>'GPI Summary'!AH53</f>
        <v>79.555000000000007</v>
      </c>
      <c r="AJ47" s="384">
        <f>'GPI Summary'!AI53</f>
        <v>1169.4359999999999</v>
      </c>
      <c r="AK47" s="384">
        <f>'GPI Summary'!AJ53</f>
        <v>436.14400000000001</v>
      </c>
      <c r="AL47" s="384">
        <f>'GPI Summary'!AK53</f>
        <v>39.991999999999997</v>
      </c>
      <c r="AM47" s="384">
        <f>'GPI Summary'!AL53</f>
        <v>490.26499999999999</v>
      </c>
      <c r="AN47" s="384">
        <f>'GPI Summary'!AM53</f>
        <v>156.05799999999999</v>
      </c>
      <c r="AO47" s="384">
        <f>'GPI Summary'!AN53</f>
        <v>188.98099999999999</v>
      </c>
      <c r="AP47" s="384">
        <f>'GPI Summary'!AO53</f>
        <v>581.25599999999997</v>
      </c>
      <c r="AQ47" s="384">
        <f>'GPI Summary'!AP53</f>
        <v>49.423000000000002</v>
      </c>
      <c r="AR47" s="384">
        <f>'GPI Summary'!AQ53</f>
        <v>168.71600000000001</v>
      </c>
      <c r="AS47" s="384">
        <f>'GPI Summary'!AR53</f>
        <v>41.667000000000002</v>
      </c>
      <c r="AT47" s="384">
        <f>'GPI Summary'!AS53</f>
        <v>263.62599999999998</v>
      </c>
      <c r="AU47" s="384">
        <f>'GPI Summary'!AT53</f>
        <v>1321.0050000000001</v>
      </c>
      <c r="AV47" s="384">
        <f>'GPI Summary'!AU53</f>
        <v>124.45399999999999</v>
      </c>
      <c r="AW47" s="384">
        <f>'GPI Summary'!AV53</f>
        <v>26.545000000000002</v>
      </c>
      <c r="AX47" s="384">
        <f>'GPI Summary'!AW53</f>
        <v>433.61099999999999</v>
      </c>
      <c r="AY47" s="384">
        <f>'GPI Summary'!AX53</f>
        <v>357.05599999999998</v>
      </c>
      <c r="AZ47" s="384">
        <f>'GPI Summary'!AY53</f>
        <v>66.108999999999995</v>
      </c>
      <c r="BA47" s="384">
        <f>'GPI Summary'!AZ53</f>
        <v>253.34899999999999</v>
      </c>
      <c r="BB47" s="384">
        <f>'GPI Summary'!BA53</f>
        <v>38.19</v>
      </c>
    </row>
    <row r="48" spans="2:56" x14ac:dyDescent="0.2">
      <c r="B48" s="7" t="s">
        <v>1006</v>
      </c>
      <c r="C48" s="7" t="s">
        <v>1007</v>
      </c>
      <c r="D48" s="384">
        <f>'GPI Summary'!C54</f>
        <v>47762.284161784519</v>
      </c>
      <c r="E48" s="384">
        <f>'GPI Summary'!D54</f>
        <v>37165.811525267352</v>
      </c>
      <c r="F48" s="384">
        <f>'GPI Summary'!E54</f>
        <v>70783.024341723532</v>
      </c>
      <c r="G48" s="384">
        <f>'GPI Summary'!F54</f>
        <v>39581.959437571852</v>
      </c>
      <c r="H48" s="384">
        <f>'GPI Summary'!G54</f>
        <v>36261.366876949498</v>
      </c>
      <c r="I48" s="384">
        <f>'GPI Summary'!H54</f>
        <v>50657.796254971581</v>
      </c>
      <c r="J48" s="384">
        <f>'GPI Summary'!I54</f>
        <v>51743.036278937405</v>
      </c>
      <c r="K48" s="384">
        <f>'GPI Summary'!J54</f>
        <v>62845.493525137332</v>
      </c>
      <c r="L48" s="384">
        <f>'GPI Summary'!K54</f>
        <v>70889.083915752795</v>
      </c>
      <c r="M48" s="384">
        <f>'GPI Summary'!L54</f>
        <v>39116.903436290726</v>
      </c>
      <c r="N48" s="384">
        <f>'GPI Summary'!M54</f>
        <v>42541.625647391171</v>
      </c>
      <c r="O48" s="384">
        <f>'GPI Summary'!N54</f>
        <v>50797.857094655148</v>
      </c>
      <c r="P48" s="384">
        <f>'GPI Summary'!O54</f>
        <v>36051.281015113556</v>
      </c>
      <c r="Q48" s="384">
        <f>'GPI Summary'!P54</f>
        <v>52119.74538855804</v>
      </c>
      <c r="R48" s="384">
        <f>'GPI Summary'!Q54</f>
        <v>43635.4506884449</v>
      </c>
      <c r="S48" s="384">
        <f>'GPI Summary'!R54</f>
        <v>47667.224634207079</v>
      </c>
      <c r="T48" s="384">
        <f>'GPI Summary'!S54</f>
        <v>46950.828216135393</v>
      </c>
      <c r="U48" s="384">
        <f>'GPI Summary'!T54</f>
        <v>38476.335378607837</v>
      </c>
      <c r="V48" s="384">
        <f>'GPI Summary'!U54</f>
        <v>51890.960105937658</v>
      </c>
      <c r="W48" s="384">
        <f>'GPI Summary'!V54</f>
        <v>39508.665125129468</v>
      </c>
      <c r="X48" s="384">
        <f>'GPI Summary'!W54</f>
        <v>52259.823151422745</v>
      </c>
      <c r="Y48" s="384">
        <f>'GPI Summary'!X54</f>
        <v>58812.596270956739</v>
      </c>
      <c r="Z48" s="384">
        <f>'GPI Summary'!Y54</f>
        <v>38992.685992154744</v>
      </c>
      <c r="AA48" s="384">
        <f>'GPI Summary'!Z54</f>
        <v>52360.453380295359</v>
      </c>
      <c r="AB48" s="384">
        <f>'GPI Summary'!AA54</f>
        <v>32757.14813009894</v>
      </c>
      <c r="AC48" s="384">
        <f>'GPI Summary'!AB54</f>
        <v>41528.817517237519</v>
      </c>
      <c r="AD48" s="384">
        <f>'GPI Summary'!AC54</f>
        <v>39024.043092534885</v>
      </c>
      <c r="AE48" s="384">
        <f>'GPI Summary'!AD54</f>
        <v>52235.492342449441</v>
      </c>
      <c r="AF48" s="384">
        <f>'GPI Summary'!AE54</f>
        <v>47580.760198056785</v>
      </c>
      <c r="AG48" s="384">
        <f>'GPI Summary'!AF54</f>
        <v>48059.389576774141</v>
      </c>
      <c r="AH48" s="384">
        <f>'GPI Summary'!AG54</f>
        <v>55822.03413715327</v>
      </c>
      <c r="AI48" s="384">
        <f>'GPI Summary'!AH54</f>
        <v>38271.994550372016</v>
      </c>
      <c r="AJ48" s="384">
        <f>'GPI Summary'!AI54</f>
        <v>59966.107424123213</v>
      </c>
      <c r="AK48" s="384">
        <f>'GPI Summary'!AJ54</f>
        <v>45191.104063442282</v>
      </c>
      <c r="AL48" s="384">
        <f>'GPI Summary'!AK54</f>
        <v>58404.649940123258</v>
      </c>
      <c r="AM48" s="384">
        <f>'GPI Summary'!AL54</f>
        <v>42480.261904355488</v>
      </c>
      <c r="AN48" s="384">
        <f>'GPI Summary'!AM54</f>
        <v>41239.766891648163</v>
      </c>
      <c r="AO48" s="384">
        <f>'GPI Summary'!AN54</f>
        <v>48854.656743434789</v>
      </c>
      <c r="AP48" s="384">
        <f>'GPI Summary'!AO54</f>
        <v>45610.355597810034</v>
      </c>
      <c r="AQ48" s="384">
        <f>'GPI Summary'!AP54</f>
        <v>47040.582651054683</v>
      </c>
      <c r="AR48" s="384">
        <f>'GPI Summary'!AQ54</f>
        <v>36101.741192823647</v>
      </c>
      <c r="AS48" s="384">
        <f>'GPI Summary'!AR54</f>
        <v>50591.736452349644</v>
      </c>
      <c r="AT48" s="384">
        <f>'GPI Summary'!AS54</f>
        <v>41192.933452316458</v>
      </c>
      <c r="AU48" s="384">
        <f>'GPI Summary'!AT54</f>
        <v>51537.782513565777</v>
      </c>
      <c r="AV48" s="384">
        <f>'GPI Summary'!AU54</f>
        <v>44221.270511418814</v>
      </c>
      <c r="AW48" s="384">
        <f>'GPI Summary'!AV54</f>
        <v>42364.090189469382</v>
      </c>
      <c r="AX48" s="384">
        <f>'GPI Summary'!AW54</f>
        <v>53503.264406030117</v>
      </c>
      <c r="AY48" s="384">
        <f>'GPI Summary'!AX54</f>
        <v>52329.184831840816</v>
      </c>
      <c r="AZ48" s="384">
        <f>'GPI Summary'!AY54</f>
        <v>35640.042525020108</v>
      </c>
      <c r="BA48" s="384">
        <f>'GPI Summary'!AZ54</f>
        <v>44370.572010473843</v>
      </c>
      <c r="BB48" s="384">
        <f>'GPI Summary'!BA54</f>
        <v>67312.234293811998</v>
      </c>
    </row>
  </sheetData>
  <phoneticPr fontId="108" type="noConversion"/>
  <pageMargins left="0.75" right="0.75" top="1" bottom="1" header="0.5" footer="0.5"/>
  <pageSetup orientation="portrait" horizontalDpi="4294967292" verticalDpi="4294967292"/>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9"/>
  <sheetViews>
    <sheetView workbookViewId="0"/>
  </sheetViews>
  <sheetFormatPr baseColWidth="10" defaultColWidth="14" defaultRowHeight="16" x14ac:dyDescent="0.15"/>
  <cols>
    <col min="1" max="1" width="9.83203125" style="115" customWidth="1"/>
    <col min="2" max="2" width="69" style="115" customWidth="1"/>
    <col min="3" max="3" width="12.1640625" style="115" customWidth="1"/>
    <col min="4" max="4" width="14.1640625" style="111" bestFit="1" customWidth="1"/>
    <col min="5" max="55" width="14" style="111"/>
    <col min="56" max="56" width="91.6640625" style="111" customWidth="1"/>
    <col min="57" max="16384" width="14" style="111"/>
  </cols>
  <sheetData>
    <row r="1" spans="1:55" s="106" customFormat="1" x14ac:dyDescent="0.15">
      <c r="A1" s="105"/>
      <c r="B1" s="105"/>
      <c r="C1" s="105"/>
      <c r="D1" s="106">
        <v>1</v>
      </c>
      <c r="E1" s="106">
        <v>2</v>
      </c>
      <c r="F1" s="106">
        <v>3</v>
      </c>
      <c r="G1" s="106">
        <v>4</v>
      </c>
      <c r="H1" s="106">
        <v>5</v>
      </c>
      <c r="I1" s="106">
        <v>6</v>
      </c>
      <c r="J1" s="106">
        <v>7</v>
      </c>
      <c r="K1" s="106">
        <v>8</v>
      </c>
      <c r="L1" s="106">
        <v>10</v>
      </c>
      <c r="M1" s="106">
        <v>11</v>
      </c>
      <c r="N1" s="106">
        <v>12</v>
      </c>
      <c r="O1" s="106">
        <v>13</v>
      </c>
      <c r="P1" s="106">
        <v>14</v>
      </c>
      <c r="Q1" s="106">
        <v>15</v>
      </c>
      <c r="R1" s="106">
        <v>16</v>
      </c>
      <c r="S1" s="106">
        <v>17</v>
      </c>
      <c r="T1" s="106">
        <v>18</v>
      </c>
      <c r="U1" s="106">
        <v>19</v>
      </c>
      <c r="V1" s="106">
        <v>20</v>
      </c>
      <c r="W1" s="106">
        <v>21</v>
      </c>
      <c r="X1" s="106">
        <v>22</v>
      </c>
      <c r="Y1" s="106">
        <v>23</v>
      </c>
      <c r="Z1" s="106">
        <v>24</v>
      </c>
      <c r="AA1" s="106">
        <v>25</v>
      </c>
      <c r="AB1" s="106">
        <v>26</v>
      </c>
      <c r="AC1" s="106">
        <v>27</v>
      </c>
      <c r="AD1" s="106">
        <v>28</v>
      </c>
      <c r="AE1" s="106">
        <v>29</v>
      </c>
      <c r="AF1" s="106">
        <v>30</v>
      </c>
      <c r="AG1" s="106">
        <v>31</v>
      </c>
      <c r="AH1" s="106">
        <v>32</v>
      </c>
      <c r="AI1" s="106">
        <v>33</v>
      </c>
      <c r="AJ1" s="106">
        <v>34</v>
      </c>
      <c r="AK1" s="106">
        <v>35</v>
      </c>
      <c r="AL1" s="106">
        <v>36</v>
      </c>
      <c r="AM1" s="106">
        <v>37</v>
      </c>
      <c r="AN1" s="106">
        <v>38</v>
      </c>
      <c r="AO1" s="106">
        <v>39</v>
      </c>
      <c r="AP1" s="106">
        <v>40</v>
      </c>
      <c r="AQ1" s="106">
        <v>41</v>
      </c>
      <c r="AR1" s="106">
        <v>42</v>
      </c>
      <c r="AS1" s="106">
        <v>43</v>
      </c>
      <c r="AT1" s="106">
        <v>44</v>
      </c>
      <c r="AU1" s="106">
        <v>45</v>
      </c>
      <c r="AV1" s="106">
        <v>46</v>
      </c>
      <c r="AW1" s="106">
        <v>47</v>
      </c>
      <c r="AX1" s="106">
        <v>48</v>
      </c>
      <c r="AY1" s="106">
        <v>49</v>
      </c>
      <c r="AZ1" s="106">
        <v>50</v>
      </c>
      <c r="BA1" s="106">
        <v>51</v>
      </c>
    </row>
    <row r="2" spans="1:55" x14ac:dyDescent="0.2">
      <c r="A2" s="107" t="s">
        <v>503</v>
      </c>
      <c r="B2" s="108"/>
      <c r="C2" s="24" t="s">
        <v>95</v>
      </c>
      <c r="D2" s="109" t="s">
        <v>504</v>
      </c>
      <c r="E2" s="109" t="s">
        <v>505</v>
      </c>
      <c r="F2" s="109" t="s">
        <v>506</v>
      </c>
      <c r="G2" s="109" t="s">
        <v>507</v>
      </c>
      <c r="H2" s="109" t="s">
        <v>508</v>
      </c>
      <c r="I2" s="109" t="s">
        <v>509</v>
      </c>
      <c r="J2" s="109" t="s">
        <v>510</v>
      </c>
      <c r="K2" s="109" t="s">
        <v>511</v>
      </c>
      <c r="L2" s="109" t="s">
        <v>512</v>
      </c>
      <c r="M2" s="109" t="s">
        <v>513</v>
      </c>
      <c r="N2" s="109" t="s">
        <v>514</v>
      </c>
      <c r="O2" s="109" t="s">
        <v>515</v>
      </c>
      <c r="P2" s="109" t="s">
        <v>516</v>
      </c>
      <c r="Q2" s="109" t="s">
        <v>517</v>
      </c>
      <c r="R2" s="109" t="s">
        <v>518</v>
      </c>
      <c r="S2" s="109" t="s">
        <v>519</v>
      </c>
      <c r="T2" s="109" t="s">
        <v>520</v>
      </c>
      <c r="U2" s="109" t="s">
        <v>521</v>
      </c>
      <c r="V2" s="109" t="s">
        <v>522</v>
      </c>
      <c r="W2" s="109" t="s">
        <v>523</v>
      </c>
      <c r="X2" s="109" t="s">
        <v>524</v>
      </c>
      <c r="Y2" s="109" t="s">
        <v>525</v>
      </c>
      <c r="Z2" s="109" t="s">
        <v>526</v>
      </c>
      <c r="AA2" s="109" t="s">
        <v>527</v>
      </c>
      <c r="AB2" s="109" t="s">
        <v>528</v>
      </c>
      <c r="AC2" s="109" t="s">
        <v>529</v>
      </c>
      <c r="AD2" s="109" t="s">
        <v>530</v>
      </c>
      <c r="AE2" s="109" t="s">
        <v>531</v>
      </c>
      <c r="AF2" s="109" t="s">
        <v>532</v>
      </c>
      <c r="AG2" s="109" t="s">
        <v>533</v>
      </c>
      <c r="AH2" s="109" t="s">
        <v>593</v>
      </c>
      <c r="AI2" s="109" t="s">
        <v>594</v>
      </c>
      <c r="AJ2" s="109" t="s">
        <v>595</v>
      </c>
      <c r="AK2" s="109" t="s">
        <v>596</v>
      </c>
      <c r="AL2" s="109" t="s">
        <v>597</v>
      </c>
      <c r="AM2" s="109" t="s">
        <v>598</v>
      </c>
      <c r="AN2" s="109" t="s">
        <v>599</v>
      </c>
      <c r="AO2" s="109" t="s">
        <v>600</v>
      </c>
      <c r="AP2" s="109" t="s">
        <v>601</v>
      </c>
      <c r="AQ2" s="109" t="s">
        <v>602</v>
      </c>
      <c r="AR2" s="109" t="s">
        <v>603</v>
      </c>
      <c r="AS2" s="109" t="s">
        <v>604</v>
      </c>
      <c r="AT2" s="109" t="s">
        <v>605</v>
      </c>
      <c r="AU2" s="109" t="s">
        <v>606</v>
      </c>
      <c r="AV2" s="109" t="s">
        <v>539</v>
      </c>
      <c r="AW2" s="109" t="s">
        <v>540</v>
      </c>
      <c r="AX2" s="109" t="s">
        <v>541</v>
      </c>
      <c r="AY2" s="109" t="s">
        <v>542</v>
      </c>
      <c r="AZ2" s="109" t="s">
        <v>543</v>
      </c>
      <c r="BA2" s="109" t="s">
        <v>544</v>
      </c>
      <c r="BB2" s="110" t="s">
        <v>96</v>
      </c>
      <c r="BC2" s="110" t="s">
        <v>97</v>
      </c>
    </row>
    <row r="3" spans="1:55" x14ac:dyDescent="0.2">
      <c r="A3" s="105"/>
      <c r="B3" s="105"/>
      <c r="C3" s="24" t="s">
        <v>96</v>
      </c>
      <c r="D3" s="106" t="s">
        <v>39</v>
      </c>
      <c r="E3" s="110" t="s">
        <v>40</v>
      </c>
      <c r="F3" s="110" t="s">
        <v>41</v>
      </c>
      <c r="G3" s="110" t="s">
        <v>42</v>
      </c>
      <c r="H3" s="110" t="s">
        <v>43</v>
      </c>
      <c r="I3" s="110" t="s">
        <v>44</v>
      </c>
      <c r="J3" s="110" t="s">
        <v>45</v>
      </c>
      <c r="K3" s="110" t="s">
        <v>46</v>
      </c>
      <c r="L3" s="110" t="s">
        <v>47</v>
      </c>
      <c r="M3" s="110" t="s">
        <v>48</v>
      </c>
      <c r="N3" s="110" t="s">
        <v>49</v>
      </c>
      <c r="O3" s="110" t="s">
        <v>50</v>
      </c>
      <c r="P3" s="110" t="s">
        <v>51</v>
      </c>
      <c r="Q3" s="110" t="s">
        <v>52</v>
      </c>
      <c r="R3" s="110" t="s">
        <v>53</v>
      </c>
      <c r="S3" s="110" t="s">
        <v>54</v>
      </c>
      <c r="T3" s="110" t="s">
        <v>55</v>
      </c>
      <c r="U3" s="110" t="s">
        <v>56</v>
      </c>
      <c r="V3" s="110" t="s">
        <v>57</v>
      </c>
      <c r="W3" s="110" t="s">
        <v>58</v>
      </c>
      <c r="X3" s="110" t="s">
        <v>59</v>
      </c>
      <c r="Y3" s="110" t="s">
        <v>60</v>
      </c>
      <c r="Z3" s="110" t="s">
        <v>61</v>
      </c>
      <c r="AA3" s="110" t="s">
        <v>62</v>
      </c>
      <c r="AB3" s="110" t="s">
        <v>63</v>
      </c>
      <c r="AC3" s="110" t="s">
        <v>64</v>
      </c>
      <c r="AD3" s="110" t="s">
        <v>65</v>
      </c>
      <c r="AE3" s="110" t="s">
        <v>66</v>
      </c>
      <c r="AF3" s="110" t="s">
        <v>67</v>
      </c>
      <c r="AG3" s="110" t="s">
        <v>68</v>
      </c>
      <c r="AH3" s="110" t="s">
        <v>69</v>
      </c>
      <c r="AI3" s="110" t="s">
        <v>70</v>
      </c>
      <c r="AJ3" s="110" t="s">
        <v>71</v>
      </c>
      <c r="AK3" s="110" t="s">
        <v>72</v>
      </c>
      <c r="AL3" s="110" t="s">
        <v>73</v>
      </c>
      <c r="AM3" s="110" t="s">
        <v>74</v>
      </c>
      <c r="AN3" s="110" t="s">
        <v>75</v>
      </c>
      <c r="AO3" s="110" t="s">
        <v>76</v>
      </c>
      <c r="AP3" s="110" t="s">
        <v>77</v>
      </c>
      <c r="AQ3" s="110" t="s">
        <v>78</v>
      </c>
      <c r="AR3" s="110" t="s">
        <v>79</v>
      </c>
      <c r="AS3" s="110" t="s">
        <v>80</v>
      </c>
      <c r="AT3" s="110" t="s">
        <v>81</v>
      </c>
      <c r="AU3" s="110" t="s">
        <v>82</v>
      </c>
      <c r="AV3" s="110" t="s">
        <v>83</v>
      </c>
      <c r="AW3" s="110" t="s">
        <v>84</v>
      </c>
      <c r="AX3" s="110" t="s">
        <v>85</v>
      </c>
      <c r="AY3" s="110" t="s">
        <v>86</v>
      </c>
      <c r="AZ3" s="110" t="s">
        <v>87</v>
      </c>
      <c r="BA3" s="110" t="s">
        <v>88</v>
      </c>
      <c r="BB3" s="112"/>
      <c r="BC3" s="113"/>
    </row>
    <row r="4" spans="1:55" x14ac:dyDescent="0.15">
      <c r="A4" s="107">
        <v>1</v>
      </c>
      <c r="B4" s="362" t="s">
        <v>545</v>
      </c>
      <c r="C4" s="364">
        <f>SUM(D4:BA4)</f>
        <v>1610.62363</v>
      </c>
      <c r="D4" s="363">
        <f>(D7+D12+D16)/1000000000</f>
        <v>44.523733</v>
      </c>
      <c r="E4" s="363">
        <f t="shared" ref="E4:BB4" si="0">(E7+E12+E16)/1000000000</f>
        <v>3.585804</v>
      </c>
      <c r="F4" s="363">
        <f t="shared" si="0"/>
        <v>41.087337499999997</v>
      </c>
      <c r="G4" s="363">
        <f t="shared" si="0"/>
        <v>27.341755500000001</v>
      </c>
      <c r="H4" s="363">
        <f t="shared" si="0"/>
        <v>138.99970783333333</v>
      </c>
      <c r="I4" s="363">
        <f t="shared" si="0"/>
        <v>22.2618665</v>
      </c>
      <c r="J4" s="363">
        <f t="shared" si="0"/>
        <v>10.956623333333335</v>
      </c>
      <c r="K4" s="363">
        <f t="shared" si="0"/>
        <v>4.9304804999999998</v>
      </c>
      <c r="L4" s="363">
        <f t="shared" si="0"/>
        <v>119.42719433333335</v>
      </c>
      <c r="M4" s="363">
        <f t="shared" si="0"/>
        <v>60.908865166666672</v>
      </c>
      <c r="N4" s="363">
        <f t="shared" si="0"/>
        <v>4.9802833333333343</v>
      </c>
      <c r="O4" s="363">
        <f t="shared" si="0"/>
        <v>8.3170731666666669</v>
      </c>
      <c r="P4" s="363">
        <f t="shared" si="0"/>
        <v>45.719000999999999</v>
      </c>
      <c r="Q4" s="363">
        <f t="shared" si="0"/>
        <v>37.352125000000001</v>
      </c>
      <c r="R4" s="363">
        <f t="shared" si="0"/>
        <v>17.929020000000001</v>
      </c>
      <c r="S4" s="363">
        <f t="shared" si="0"/>
        <v>19.223893666666669</v>
      </c>
      <c r="T4" s="363">
        <f t="shared" si="0"/>
        <v>35.907842833333333</v>
      </c>
      <c r="U4" s="363">
        <f t="shared" si="0"/>
        <v>33.616912499999998</v>
      </c>
      <c r="V4" s="363">
        <f t="shared" si="0"/>
        <v>6.7731853333333341</v>
      </c>
      <c r="W4" s="363">
        <f t="shared" si="0"/>
        <v>24.154374166666667</v>
      </c>
      <c r="X4" s="363">
        <f t="shared" si="0"/>
        <v>16.783554833333334</v>
      </c>
      <c r="Y4" s="363">
        <f t="shared" si="0"/>
        <v>44.274718833333338</v>
      </c>
      <c r="Z4" s="363">
        <f t="shared" si="0"/>
        <v>18.327442666666666</v>
      </c>
      <c r="AA4" s="363">
        <f t="shared" si="0"/>
        <v>31.375785</v>
      </c>
      <c r="AB4" s="363">
        <f t="shared" si="0"/>
        <v>39.045421333333337</v>
      </c>
      <c r="AC4" s="363">
        <f t="shared" si="0"/>
        <v>10.408792166666668</v>
      </c>
      <c r="AD4" s="363">
        <f t="shared" si="0"/>
        <v>9.0143128333333333</v>
      </c>
      <c r="AE4" s="363">
        <f t="shared" si="0"/>
        <v>12.251497000000001</v>
      </c>
      <c r="AF4" s="363">
        <f t="shared" si="0"/>
        <v>4.4822550000000003</v>
      </c>
      <c r="AG4" s="363">
        <f t="shared" si="0"/>
        <v>31.226376500000001</v>
      </c>
      <c r="AH4" s="363">
        <f t="shared" si="0"/>
        <v>17.580400166666667</v>
      </c>
      <c r="AI4" s="363">
        <f t="shared" si="0"/>
        <v>58.219512166666675</v>
      </c>
      <c r="AJ4" s="363">
        <f t="shared" si="0"/>
        <v>61.108076500000003</v>
      </c>
      <c r="AK4" s="363">
        <f t="shared" si="0"/>
        <v>7.3708193333333343</v>
      </c>
      <c r="AL4" s="363">
        <f t="shared" si="0"/>
        <v>50.599678666666669</v>
      </c>
      <c r="AM4" s="363">
        <f t="shared" si="0"/>
        <v>34.662771999999997</v>
      </c>
      <c r="AN4" s="363">
        <f t="shared" si="0"/>
        <v>16.484737833333334</v>
      </c>
      <c r="AO4" s="363">
        <f t="shared" si="0"/>
        <v>64.046443666666676</v>
      </c>
      <c r="AP4" s="363">
        <f t="shared" si="0"/>
        <v>3.2869869999999999</v>
      </c>
      <c r="AQ4" s="363">
        <f t="shared" si="0"/>
        <v>41.236745999999997</v>
      </c>
      <c r="AR4" s="363">
        <f t="shared" si="0"/>
        <v>5.5281145</v>
      </c>
      <c r="AS4" s="363">
        <f t="shared" si="0"/>
        <v>47.113480333333335</v>
      </c>
      <c r="AT4" s="363">
        <f t="shared" si="0"/>
        <v>150.20534533333336</v>
      </c>
      <c r="AU4" s="363">
        <f t="shared" si="0"/>
        <v>11.952680000000001</v>
      </c>
      <c r="AV4" s="363">
        <f t="shared" si="0"/>
        <v>2.7391558333333337</v>
      </c>
      <c r="AW4" s="363">
        <f t="shared" si="0"/>
        <v>38.049364666666669</v>
      </c>
      <c r="AX4" s="363">
        <f t="shared" si="0"/>
        <v>22.759894833333338</v>
      </c>
      <c r="AY4" s="363">
        <f t="shared" si="0"/>
        <v>16.783554833333334</v>
      </c>
      <c r="AZ4" s="363">
        <f t="shared" si="0"/>
        <v>28.985249</v>
      </c>
      <c r="BA4" s="363">
        <f t="shared" si="0"/>
        <v>6.7233824999999996</v>
      </c>
      <c r="BB4" s="363">
        <f t="shared" si="0"/>
        <v>1611.9683064999999</v>
      </c>
    </row>
    <row r="5" spans="1:55" x14ac:dyDescent="0.2">
      <c r="A5" s="107">
        <v>2</v>
      </c>
      <c r="B5" s="107" t="s">
        <v>546</v>
      </c>
      <c r="C5" s="107"/>
      <c r="D5" s="365">
        <v>894</v>
      </c>
      <c r="E5" s="365">
        <v>72</v>
      </c>
      <c r="F5" s="365">
        <v>825</v>
      </c>
      <c r="G5" s="365">
        <v>549</v>
      </c>
      <c r="H5" s="365">
        <v>2791</v>
      </c>
      <c r="I5" s="365">
        <v>447</v>
      </c>
      <c r="J5" s="365">
        <v>220</v>
      </c>
      <c r="K5" s="365">
        <v>99</v>
      </c>
      <c r="L5" s="365">
        <v>2398</v>
      </c>
      <c r="M5" s="365">
        <v>1223</v>
      </c>
      <c r="N5" s="365">
        <v>100</v>
      </c>
      <c r="O5" s="365">
        <v>167</v>
      </c>
      <c r="P5" s="365">
        <v>918</v>
      </c>
      <c r="Q5" s="365">
        <v>750</v>
      </c>
      <c r="R5" s="365">
        <v>360</v>
      </c>
      <c r="S5" s="365">
        <v>386</v>
      </c>
      <c r="T5" s="365">
        <v>721</v>
      </c>
      <c r="U5" s="365">
        <v>675</v>
      </c>
      <c r="V5" s="365">
        <v>136</v>
      </c>
      <c r="W5" s="365">
        <v>485</v>
      </c>
      <c r="X5" s="365">
        <v>337</v>
      </c>
      <c r="Y5" s="365">
        <v>889</v>
      </c>
      <c r="Z5" s="365">
        <v>368</v>
      </c>
      <c r="AA5" s="365">
        <v>630</v>
      </c>
      <c r="AB5" s="365">
        <v>784</v>
      </c>
      <c r="AC5" s="365">
        <v>209</v>
      </c>
      <c r="AD5" s="365">
        <v>181</v>
      </c>
      <c r="AE5" s="365">
        <v>246</v>
      </c>
      <c r="AF5" s="365">
        <v>90</v>
      </c>
      <c r="AG5" s="365">
        <v>627</v>
      </c>
      <c r="AH5" s="365">
        <v>353</v>
      </c>
      <c r="AI5" s="365">
        <v>1169</v>
      </c>
      <c r="AJ5" s="365">
        <v>1227</v>
      </c>
      <c r="AK5" s="365">
        <v>148</v>
      </c>
      <c r="AL5" s="365">
        <v>1016</v>
      </c>
      <c r="AM5" s="365">
        <v>696</v>
      </c>
      <c r="AN5" s="365">
        <v>331</v>
      </c>
      <c r="AO5" s="365">
        <v>1286</v>
      </c>
      <c r="AP5" s="365">
        <v>66</v>
      </c>
      <c r="AQ5" s="365">
        <v>828</v>
      </c>
      <c r="AR5" s="365">
        <v>111</v>
      </c>
      <c r="AS5" s="365">
        <v>946</v>
      </c>
      <c r="AT5" s="365">
        <v>3016</v>
      </c>
      <c r="AU5" s="365">
        <v>240</v>
      </c>
      <c r="AV5" s="365">
        <v>55</v>
      </c>
      <c r="AW5" s="365">
        <v>764</v>
      </c>
      <c r="AX5" s="365">
        <v>457</v>
      </c>
      <c r="AY5" s="365">
        <v>337</v>
      </c>
      <c r="AZ5" s="365">
        <v>582</v>
      </c>
      <c r="BA5" s="365">
        <v>135</v>
      </c>
      <c r="BB5" s="365">
        <v>32367</v>
      </c>
    </row>
    <row r="6" spans="1:55" x14ac:dyDescent="0.2">
      <c r="A6" s="107"/>
      <c r="B6" s="366" t="s">
        <v>1014</v>
      </c>
      <c r="C6" s="459">
        <v>1420000</v>
      </c>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row>
    <row r="7" spans="1:55" x14ac:dyDescent="0.2">
      <c r="A7" s="107">
        <v>3</v>
      </c>
      <c r="B7" s="107" t="s">
        <v>547</v>
      </c>
      <c r="C7" s="458">
        <f>SUM(D7:BA7)/1000000000</f>
        <v>45.922800000000002</v>
      </c>
      <c r="D7" s="16">
        <f>D5*$C$6</f>
        <v>1269480000</v>
      </c>
      <c r="E7" s="16">
        <f t="shared" ref="E7:BB7" si="1">E5*$C$6</f>
        <v>102240000</v>
      </c>
      <c r="F7" s="16">
        <f t="shared" si="1"/>
        <v>1171500000</v>
      </c>
      <c r="G7" s="16">
        <f t="shared" si="1"/>
        <v>779580000</v>
      </c>
      <c r="H7" s="16">
        <f t="shared" si="1"/>
        <v>3963220000</v>
      </c>
      <c r="I7" s="16">
        <f t="shared" si="1"/>
        <v>634740000</v>
      </c>
      <c r="J7" s="16">
        <f t="shared" si="1"/>
        <v>312400000</v>
      </c>
      <c r="K7" s="16">
        <f t="shared" si="1"/>
        <v>140580000</v>
      </c>
      <c r="L7" s="16">
        <f t="shared" si="1"/>
        <v>3405160000</v>
      </c>
      <c r="M7" s="16">
        <f t="shared" si="1"/>
        <v>1736660000</v>
      </c>
      <c r="N7" s="16">
        <f t="shared" si="1"/>
        <v>142000000</v>
      </c>
      <c r="O7" s="16">
        <f t="shared" si="1"/>
        <v>237140000</v>
      </c>
      <c r="P7" s="16">
        <f t="shared" si="1"/>
        <v>1303560000</v>
      </c>
      <c r="Q7" s="16">
        <f t="shared" si="1"/>
        <v>1065000000</v>
      </c>
      <c r="R7" s="16">
        <f t="shared" si="1"/>
        <v>511200000</v>
      </c>
      <c r="S7" s="16">
        <f t="shared" si="1"/>
        <v>548120000</v>
      </c>
      <c r="T7" s="16">
        <f t="shared" si="1"/>
        <v>1023820000</v>
      </c>
      <c r="U7" s="16">
        <f t="shared" si="1"/>
        <v>958500000</v>
      </c>
      <c r="V7" s="16">
        <f t="shared" si="1"/>
        <v>193120000</v>
      </c>
      <c r="W7" s="16">
        <f t="shared" si="1"/>
        <v>688700000</v>
      </c>
      <c r="X7" s="16">
        <f t="shared" si="1"/>
        <v>478540000</v>
      </c>
      <c r="Y7" s="16">
        <f t="shared" si="1"/>
        <v>1262380000</v>
      </c>
      <c r="Z7" s="16">
        <f t="shared" si="1"/>
        <v>522560000</v>
      </c>
      <c r="AA7" s="16">
        <f t="shared" si="1"/>
        <v>894600000</v>
      </c>
      <c r="AB7" s="16">
        <f t="shared" si="1"/>
        <v>1113280000</v>
      </c>
      <c r="AC7" s="16">
        <f t="shared" si="1"/>
        <v>296780000</v>
      </c>
      <c r="AD7" s="16">
        <f t="shared" si="1"/>
        <v>257020000</v>
      </c>
      <c r="AE7" s="16">
        <f t="shared" si="1"/>
        <v>349320000</v>
      </c>
      <c r="AF7" s="16">
        <f t="shared" si="1"/>
        <v>127800000</v>
      </c>
      <c r="AG7" s="16">
        <f t="shared" si="1"/>
        <v>890340000</v>
      </c>
      <c r="AH7" s="16">
        <f t="shared" si="1"/>
        <v>501260000</v>
      </c>
      <c r="AI7" s="16">
        <f t="shared" si="1"/>
        <v>1659980000</v>
      </c>
      <c r="AJ7" s="16">
        <f t="shared" si="1"/>
        <v>1742340000</v>
      </c>
      <c r="AK7" s="16">
        <f t="shared" si="1"/>
        <v>210160000</v>
      </c>
      <c r="AL7" s="16">
        <f t="shared" si="1"/>
        <v>1442720000</v>
      </c>
      <c r="AM7" s="16">
        <f t="shared" si="1"/>
        <v>988320000</v>
      </c>
      <c r="AN7" s="16">
        <f t="shared" si="1"/>
        <v>470020000</v>
      </c>
      <c r="AO7" s="16">
        <f t="shared" si="1"/>
        <v>1826120000</v>
      </c>
      <c r="AP7" s="16">
        <f t="shared" si="1"/>
        <v>93720000</v>
      </c>
      <c r="AQ7" s="16">
        <f t="shared" si="1"/>
        <v>1175760000</v>
      </c>
      <c r="AR7" s="16">
        <f t="shared" si="1"/>
        <v>157620000</v>
      </c>
      <c r="AS7" s="16">
        <f t="shared" si="1"/>
        <v>1343320000</v>
      </c>
      <c r="AT7" s="16">
        <f t="shared" si="1"/>
        <v>4282720000</v>
      </c>
      <c r="AU7" s="16">
        <f t="shared" si="1"/>
        <v>340800000</v>
      </c>
      <c r="AV7" s="16">
        <f t="shared" si="1"/>
        <v>78100000</v>
      </c>
      <c r="AW7" s="16">
        <f t="shared" si="1"/>
        <v>1084880000</v>
      </c>
      <c r="AX7" s="16">
        <f t="shared" si="1"/>
        <v>648940000</v>
      </c>
      <c r="AY7" s="16">
        <f t="shared" si="1"/>
        <v>478540000</v>
      </c>
      <c r="AZ7" s="16">
        <f t="shared" si="1"/>
        <v>826440000</v>
      </c>
      <c r="BA7" s="16">
        <f t="shared" si="1"/>
        <v>191700000</v>
      </c>
      <c r="BB7" s="16">
        <f t="shared" si="1"/>
        <v>45961140000</v>
      </c>
    </row>
    <row r="8" spans="1:55" x14ac:dyDescent="0.2">
      <c r="A8" s="107">
        <v>4</v>
      </c>
      <c r="B8" s="367" t="s">
        <v>548</v>
      </c>
      <c r="C8" s="367"/>
      <c r="D8" s="368">
        <v>0.6</v>
      </c>
      <c r="E8" s="368">
        <v>0.6</v>
      </c>
      <c r="F8" s="368">
        <v>0.6</v>
      </c>
      <c r="G8" s="368">
        <v>0.6</v>
      </c>
      <c r="H8" s="368">
        <v>0.6</v>
      </c>
      <c r="I8" s="368">
        <v>0.6</v>
      </c>
      <c r="J8" s="368">
        <v>0.6</v>
      </c>
      <c r="K8" s="368">
        <v>0.6</v>
      </c>
      <c r="L8" s="368">
        <v>0.6</v>
      </c>
      <c r="M8" s="368">
        <v>0.6</v>
      </c>
      <c r="N8" s="368">
        <v>0.6</v>
      </c>
      <c r="O8" s="368">
        <v>0.6</v>
      </c>
      <c r="P8" s="368">
        <v>0.6</v>
      </c>
      <c r="Q8" s="368">
        <v>0.6</v>
      </c>
      <c r="R8" s="368">
        <v>0.6</v>
      </c>
      <c r="S8" s="368">
        <v>0.6</v>
      </c>
      <c r="T8" s="368">
        <v>0.6</v>
      </c>
      <c r="U8" s="368">
        <v>0.6</v>
      </c>
      <c r="V8" s="368">
        <v>0.6</v>
      </c>
      <c r="W8" s="368">
        <v>0.6</v>
      </c>
      <c r="X8" s="368">
        <v>0.6</v>
      </c>
      <c r="Y8" s="368">
        <v>0.6</v>
      </c>
      <c r="Z8" s="368">
        <v>0.6</v>
      </c>
      <c r="AA8" s="368">
        <v>0.6</v>
      </c>
      <c r="AB8" s="368">
        <v>0.6</v>
      </c>
      <c r="AC8" s="368">
        <v>0.6</v>
      </c>
      <c r="AD8" s="368">
        <v>0.6</v>
      </c>
      <c r="AE8" s="368">
        <v>0.6</v>
      </c>
      <c r="AF8" s="368">
        <v>0.6</v>
      </c>
      <c r="AG8" s="368">
        <v>0.6</v>
      </c>
      <c r="AH8" s="368">
        <v>0.6</v>
      </c>
      <c r="AI8" s="368">
        <v>0.6</v>
      </c>
      <c r="AJ8" s="368">
        <v>0.6</v>
      </c>
      <c r="AK8" s="368">
        <v>0.6</v>
      </c>
      <c r="AL8" s="368">
        <v>0.6</v>
      </c>
      <c r="AM8" s="368">
        <v>0.6</v>
      </c>
      <c r="AN8" s="368">
        <v>0.6</v>
      </c>
      <c r="AO8" s="368">
        <v>0.6</v>
      </c>
      <c r="AP8" s="368">
        <v>0.6</v>
      </c>
      <c r="AQ8" s="368">
        <v>0.6</v>
      </c>
      <c r="AR8" s="368">
        <v>0.6</v>
      </c>
      <c r="AS8" s="368">
        <v>0.6</v>
      </c>
      <c r="AT8" s="368">
        <v>0.6</v>
      </c>
      <c r="AU8" s="368">
        <v>0.6</v>
      </c>
      <c r="AV8" s="368">
        <v>0.6</v>
      </c>
      <c r="AW8" s="368">
        <v>0.6</v>
      </c>
      <c r="AX8" s="368">
        <v>0.6</v>
      </c>
      <c r="AY8" s="368">
        <v>0.6</v>
      </c>
      <c r="AZ8" s="368">
        <v>0.6</v>
      </c>
      <c r="BA8" s="368">
        <v>0.6</v>
      </c>
      <c r="BB8" s="368">
        <v>0.6</v>
      </c>
    </row>
    <row r="9" spans="1:55" x14ac:dyDescent="0.15">
      <c r="A9" s="107">
        <v>5</v>
      </c>
      <c r="B9" s="369" t="s">
        <v>549</v>
      </c>
      <c r="C9" s="369"/>
      <c r="D9" s="370">
        <v>427630</v>
      </c>
      <c r="E9" s="370">
        <v>34440</v>
      </c>
      <c r="F9" s="370">
        <v>394625</v>
      </c>
      <c r="G9" s="370">
        <v>262605</v>
      </c>
      <c r="H9" s="370">
        <v>1335028.3333333335</v>
      </c>
      <c r="I9" s="370">
        <v>213815</v>
      </c>
      <c r="J9" s="370">
        <v>105233.33333333334</v>
      </c>
      <c r="K9" s="370">
        <v>47355</v>
      </c>
      <c r="L9" s="370">
        <v>1147043.3333333335</v>
      </c>
      <c r="M9" s="370">
        <v>585001.66666666674</v>
      </c>
      <c r="N9" s="370">
        <v>47833.333333333336</v>
      </c>
      <c r="O9" s="370">
        <v>79881.666666666672</v>
      </c>
      <c r="P9" s="370">
        <v>439110</v>
      </c>
      <c r="Q9" s="370">
        <v>358750</v>
      </c>
      <c r="R9" s="370">
        <v>172200</v>
      </c>
      <c r="S9" s="370">
        <v>184636.66666666669</v>
      </c>
      <c r="T9" s="370">
        <v>344878.33333333337</v>
      </c>
      <c r="U9" s="370">
        <v>322875</v>
      </c>
      <c r="V9" s="370">
        <v>65053.333333333343</v>
      </c>
      <c r="W9" s="370">
        <v>231991.66666666669</v>
      </c>
      <c r="X9" s="370">
        <v>161198.33333333334</v>
      </c>
      <c r="Y9" s="370">
        <v>425238.33333333337</v>
      </c>
      <c r="Z9" s="370">
        <v>176026.66666666669</v>
      </c>
      <c r="AA9" s="370">
        <v>301350</v>
      </c>
      <c r="AB9" s="370">
        <v>375013.33333333337</v>
      </c>
      <c r="AC9" s="370">
        <v>99971.666666666672</v>
      </c>
      <c r="AD9" s="370">
        <v>86578.333333333343</v>
      </c>
      <c r="AE9" s="370">
        <v>117670</v>
      </c>
      <c r="AF9" s="370">
        <v>43050</v>
      </c>
      <c r="AG9" s="370">
        <v>299915</v>
      </c>
      <c r="AH9" s="370">
        <v>168851.66666666669</v>
      </c>
      <c r="AI9" s="370">
        <v>559171.66666666674</v>
      </c>
      <c r="AJ9" s="370">
        <v>586915</v>
      </c>
      <c r="AK9" s="370">
        <v>70793.333333333343</v>
      </c>
      <c r="AL9" s="370">
        <v>485986.66666666674</v>
      </c>
      <c r="AM9" s="370">
        <v>332920</v>
      </c>
      <c r="AN9" s="370">
        <v>158328.33333333334</v>
      </c>
      <c r="AO9" s="370">
        <v>615136.66666666674</v>
      </c>
      <c r="AP9" s="370">
        <v>31570</v>
      </c>
      <c r="AQ9" s="370">
        <v>396060</v>
      </c>
      <c r="AR9" s="370">
        <v>53095</v>
      </c>
      <c r="AS9" s="370">
        <v>452503.33333333337</v>
      </c>
      <c r="AT9" s="370">
        <v>1442653.3333333335</v>
      </c>
      <c r="AU9" s="370">
        <v>114800</v>
      </c>
      <c r="AV9" s="370">
        <v>26308.333333333336</v>
      </c>
      <c r="AW9" s="370">
        <v>365446.66666666669</v>
      </c>
      <c r="AX9" s="370">
        <v>218598.33333333334</v>
      </c>
      <c r="AY9" s="370">
        <v>161198.33333333334</v>
      </c>
      <c r="AZ9" s="370">
        <v>278390</v>
      </c>
      <c r="BA9" s="370">
        <v>64575</v>
      </c>
      <c r="BB9" s="370">
        <v>15482215</v>
      </c>
    </row>
    <row r="10" spans="1:55" x14ac:dyDescent="0.15">
      <c r="A10" s="107">
        <v>6</v>
      </c>
      <c r="B10" s="367" t="s">
        <v>550</v>
      </c>
      <c r="C10" s="367"/>
      <c r="D10" s="292">
        <v>28.7</v>
      </c>
      <c r="E10" s="292">
        <v>28.7</v>
      </c>
      <c r="F10" s="292">
        <v>28.7</v>
      </c>
      <c r="G10" s="292">
        <v>28.7</v>
      </c>
      <c r="H10" s="292">
        <v>28.7</v>
      </c>
      <c r="I10" s="292">
        <v>28.7</v>
      </c>
      <c r="J10" s="292">
        <v>28.7</v>
      </c>
      <c r="K10" s="292">
        <v>28.7</v>
      </c>
      <c r="L10" s="292">
        <v>28.7</v>
      </c>
      <c r="M10" s="292">
        <v>28.7</v>
      </c>
      <c r="N10" s="292">
        <v>28.7</v>
      </c>
      <c r="O10" s="292">
        <v>28.7</v>
      </c>
      <c r="P10" s="292">
        <v>28.7</v>
      </c>
      <c r="Q10" s="292">
        <v>28.7</v>
      </c>
      <c r="R10" s="292">
        <v>28.7</v>
      </c>
      <c r="S10" s="292">
        <v>28.7</v>
      </c>
      <c r="T10" s="292">
        <v>28.7</v>
      </c>
      <c r="U10" s="292">
        <v>28.7</v>
      </c>
      <c r="V10" s="292">
        <v>28.7</v>
      </c>
      <c r="W10" s="292">
        <v>28.7</v>
      </c>
      <c r="X10" s="292">
        <v>28.7</v>
      </c>
      <c r="Y10" s="292">
        <v>28.7</v>
      </c>
      <c r="Z10" s="292">
        <v>28.7</v>
      </c>
      <c r="AA10" s="292">
        <v>28.7</v>
      </c>
      <c r="AB10" s="292">
        <v>28.7</v>
      </c>
      <c r="AC10" s="292">
        <v>28.7</v>
      </c>
      <c r="AD10" s="292">
        <v>28.7</v>
      </c>
      <c r="AE10" s="292">
        <v>28.7</v>
      </c>
      <c r="AF10" s="292">
        <v>28.7</v>
      </c>
      <c r="AG10" s="292">
        <v>28.7</v>
      </c>
      <c r="AH10" s="292">
        <v>28.7</v>
      </c>
      <c r="AI10" s="292">
        <v>28.7</v>
      </c>
      <c r="AJ10" s="292">
        <v>28.7</v>
      </c>
      <c r="AK10" s="292">
        <v>28.7</v>
      </c>
      <c r="AL10" s="292">
        <v>28.7</v>
      </c>
      <c r="AM10" s="292">
        <v>28.7</v>
      </c>
      <c r="AN10" s="292">
        <v>28.7</v>
      </c>
      <c r="AO10" s="292">
        <v>28.7</v>
      </c>
      <c r="AP10" s="292">
        <v>28.7</v>
      </c>
      <c r="AQ10" s="292">
        <v>28.7</v>
      </c>
      <c r="AR10" s="292">
        <v>28.7</v>
      </c>
      <c r="AS10" s="292">
        <v>28.7</v>
      </c>
      <c r="AT10" s="292">
        <v>28.7</v>
      </c>
      <c r="AU10" s="292">
        <v>28.7</v>
      </c>
      <c r="AV10" s="292">
        <v>28.7</v>
      </c>
      <c r="AW10" s="292">
        <v>28.7</v>
      </c>
      <c r="AX10" s="292">
        <v>28.7</v>
      </c>
      <c r="AY10" s="292">
        <v>28.7</v>
      </c>
      <c r="AZ10" s="292">
        <v>28.7</v>
      </c>
      <c r="BA10" s="292">
        <v>28.7</v>
      </c>
      <c r="BB10" s="292">
        <v>28.7</v>
      </c>
    </row>
    <row r="11" spans="1:55" x14ac:dyDescent="0.15">
      <c r="A11" s="107"/>
      <c r="B11" s="366" t="s">
        <v>1015</v>
      </c>
      <c r="C11" s="459">
        <v>78700</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row>
    <row r="12" spans="1:55" x14ac:dyDescent="0.15">
      <c r="A12" s="107">
        <v>7</v>
      </c>
      <c r="B12" s="107" t="s">
        <v>551</v>
      </c>
      <c r="C12" s="458">
        <f>SUM(D12:BA12)/1000000000</f>
        <v>1217.4339099999997</v>
      </c>
      <c r="D12" s="111">
        <f>D9*$C$11</f>
        <v>33654481000</v>
      </c>
      <c r="E12" s="111">
        <f t="shared" ref="E12:BB12" si="2">E9*$C$11</f>
        <v>2710428000</v>
      </c>
      <c r="F12" s="111">
        <f t="shared" si="2"/>
        <v>31056987500</v>
      </c>
      <c r="G12" s="111">
        <f t="shared" si="2"/>
        <v>20667013500</v>
      </c>
      <c r="H12" s="111">
        <f t="shared" si="2"/>
        <v>105066729833.33334</v>
      </c>
      <c r="I12" s="111">
        <f t="shared" si="2"/>
        <v>16827240500</v>
      </c>
      <c r="J12" s="111">
        <f t="shared" si="2"/>
        <v>8281863333.333334</v>
      </c>
      <c r="K12" s="111">
        <f t="shared" si="2"/>
        <v>3726838500</v>
      </c>
      <c r="L12" s="111">
        <f t="shared" si="2"/>
        <v>90272310333.333344</v>
      </c>
      <c r="M12" s="111">
        <f t="shared" si="2"/>
        <v>46039631166.666672</v>
      </c>
      <c r="N12" s="111">
        <f t="shared" si="2"/>
        <v>3764483333.3333335</v>
      </c>
      <c r="O12" s="111">
        <f t="shared" si="2"/>
        <v>6286687166.666667</v>
      </c>
      <c r="P12" s="111">
        <f t="shared" si="2"/>
        <v>34557957000</v>
      </c>
      <c r="Q12" s="111">
        <f t="shared" si="2"/>
        <v>28233625000</v>
      </c>
      <c r="R12" s="111">
        <f t="shared" si="2"/>
        <v>13552140000</v>
      </c>
      <c r="S12" s="111">
        <f t="shared" si="2"/>
        <v>14530905666.666668</v>
      </c>
      <c r="T12" s="111">
        <f t="shared" si="2"/>
        <v>27141924833.333336</v>
      </c>
      <c r="U12" s="111">
        <f t="shared" si="2"/>
        <v>25410262500</v>
      </c>
      <c r="V12" s="111">
        <f t="shared" si="2"/>
        <v>5119697333.333334</v>
      </c>
      <c r="W12" s="111">
        <f t="shared" si="2"/>
        <v>18257744166.666668</v>
      </c>
      <c r="X12" s="111">
        <f t="shared" si="2"/>
        <v>12686308833.333334</v>
      </c>
      <c r="Y12" s="111">
        <f t="shared" si="2"/>
        <v>33466256833.333336</v>
      </c>
      <c r="Z12" s="111">
        <f t="shared" si="2"/>
        <v>13853298666.666668</v>
      </c>
      <c r="AA12" s="111">
        <f t="shared" si="2"/>
        <v>23716245000</v>
      </c>
      <c r="AB12" s="111">
        <f t="shared" si="2"/>
        <v>29513549333.333336</v>
      </c>
      <c r="AC12" s="111">
        <f t="shared" si="2"/>
        <v>7867770166.666667</v>
      </c>
      <c r="AD12" s="111">
        <f t="shared" si="2"/>
        <v>6813714833.333334</v>
      </c>
      <c r="AE12" s="111">
        <f t="shared" si="2"/>
        <v>9260629000</v>
      </c>
      <c r="AF12" s="111">
        <f t="shared" si="2"/>
        <v>3388035000</v>
      </c>
      <c r="AG12" s="111">
        <f t="shared" si="2"/>
        <v>23603310500</v>
      </c>
      <c r="AH12" s="111">
        <f t="shared" si="2"/>
        <v>13288626166.666668</v>
      </c>
      <c r="AI12" s="111">
        <f t="shared" si="2"/>
        <v>44006810166.666672</v>
      </c>
      <c r="AJ12" s="111">
        <f t="shared" si="2"/>
        <v>46190210500</v>
      </c>
      <c r="AK12" s="111">
        <f t="shared" si="2"/>
        <v>5571435333.333334</v>
      </c>
      <c r="AL12" s="111">
        <f t="shared" si="2"/>
        <v>38247150666.666672</v>
      </c>
      <c r="AM12" s="111">
        <f t="shared" si="2"/>
        <v>26200804000</v>
      </c>
      <c r="AN12" s="111">
        <f t="shared" si="2"/>
        <v>12460439833.333334</v>
      </c>
      <c r="AO12" s="111">
        <f t="shared" si="2"/>
        <v>48411255666.666672</v>
      </c>
      <c r="AP12" s="111">
        <f t="shared" si="2"/>
        <v>2484559000</v>
      </c>
      <c r="AQ12" s="111">
        <f t="shared" si="2"/>
        <v>31169922000</v>
      </c>
      <c r="AR12" s="111">
        <f t="shared" si="2"/>
        <v>4178576500</v>
      </c>
      <c r="AS12" s="111">
        <f t="shared" si="2"/>
        <v>35612012333.333336</v>
      </c>
      <c r="AT12" s="111">
        <f t="shared" si="2"/>
        <v>113536817333.33334</v>
      </c>
      <c r="AU12" s="111">
        <f t="shared" si="2"/>
        <v>9034760000</v>
      </c>
      <c r="AV12" s="111">
        <f t="shared" si="2"/>
        <v>2070465833.3333335</v>
      </c>
      <c r="AW12" s="111">
        <f t="shared" si="2"/>
        <v>28760652666.666668</v>
      </c>
      <c r="AX12" s="111">
        <f t="shared" si="2"/>
        <v>17203688833.333336</v>
      </c>
      <c r="AY12" s="111">
        <f t="shared" si="2"/>
        <v>12686308833.333334</v>
      </c>
      <c r="AZ12" s="111">
        <f t="shared" si="2"/>
        <v>21909293000</v>
      </c>
      <c r="BA12" s="111">
        <f t="shared" si="2"/>
        <v>5082052500</v>
      </c>
      <c r="BB12" s="111">
        <f t="shared" si="2"/>
        <v>1218450320500</v>
      </c>
    </row>
    <row r="13" spans="1:55" x14ac:dyDescent="0.15">
      <c r="A13" s="107">
        <v>8</v>
      </c>
      <c r="B13" s="367" t="s">
        <v>552</v>
      </c>
      <c r="C13" s="367"/>
      <c r="D13" s="292">
        <v>70.8</v>
      </c>
      <c r="E13" s="292">
        <v>70.8</v>
      </c>
      <c r="F13" s="292">
        <v>70.8</v>
      </c>
      <c r="G13" s="292">
        <v>70.8</v>
      </c>
      <c r="H13" s="292">
        <v>70.8</v>
      </c>
      <c r="I13" s="292">
        <v>70.8</v>
      </c>
      <c r="J13" s="292">
        <v>70.8</v>
      </c>
      <c r="K13" s="292">
        <v>70.8</v>
      </c>
      <c r="L13" s="292">
        <v>70.8</v>
      </c>
      <c r="M13" s="292">
        <v>70.8</v>
      </c>
      <c r="N13" s="292">
        <v>70.8</v>
      </c>
      <c r="O13" s="292">
        <v>70.8</v>
      </c>
      <c r="P13" s="292">
        <v>70.8</v>
      </c>
      <c r="Q13" s="292">
        <v>70.8</v>
      </c>
      <c r="R13" s="292">
        <v>70.8</v>
      </c>
      <c r="S13" s="292">
        <v>70.8</v>
      </c>
      <c r="T13" s="292">
        <v>70.8</v>
      </c>
      <c r="U13" s="292">
        <v>70.8</v>
      </c>
      <c r="V13" s="292">
        <v>70.8</v>
      </c>
      <c r="W13" s="292">
        <v>70.8</v>
      </c>
      <c r="X13" s="292">
        <v>70.8</v>
      </c>
      <c r="Y13" s="292">
        <v>70.8</v>
      </c>
      <c r="Z13" s="292">
        <v>70.8</v>
      </c>
      <c r="AA13" s="292">
        <v>70.8</v>
      </c>
      <c r="AB13" s="292">
        <v>70.8</v>
      </c>
      <c r="AC13" s="292">
        <v>70.8</v>
      </c>
      <c r="AD13" s="292">
        <v>70.8</v>
      </c>
      <c r="AE13" s="292">
        <v>70.8</v>
      </c>
      <c r="AF13" s="292">
        <v>70.8</v>
      </c>
      <c r="AG13" s="292">
        <v>70.8</v>
      </c>
      <c r="AH13" s="292">
        <v>70.8</v>
      </c>
      <c r="AI13" s="292">
        <v>70.8</v>
      </c>
      <c r="AJ13" s="292">
        <v>70.8</v>
      </c>
      <c r="AK13" s="292">
        <v>70.8</v>
      </c>
      <c r="AL13" s="292">
        <v>70.8</v>
      </c>
      <c r="AM13" s="292">
        <v>70.8</v>
      </c>
      <c r="AN13" s="292">
        <v>70.8</v>
      </c>
      <c r="AO13" s="292">
        <v>70.8</v>
      </c>
      <c r="AP13" s="292">
        <v>70.8</v>
      </c>
      <c r="AQ13" s="292">
        <v>70.8</v>
      </c>
      <c r="AR13" s="292">
        <v>70.8</v>
      </c>
      <c r="AS13" s="292">
        <v>70.8</v>
      </c>
      <c r="AT13" s="292">
        <v>70.8</v>
      </c>
      <c r="AU13" s="292">
        <v>70.8</v>
      </c>
      <c r="AV13" s="292">
        <v>70.8</v>
      </c>
      <c r="AW13" s="292">
        <v>70.8</v>
      </c>
      <c r="AX13" s="292">
        <v>70.8</v>
      </c>
      <c r="AY13" s="292">
        <v>70.8</v>
      </c>
      <c r="AZ13" s="292">
        <v>70.8</v>
      </c>
      <c r="BA13" s="292">
        <v>70.8</v>
      </c>
      <c r="BB13" s="292">
        <v>70.8</v>
      </c>
    </row>
    <row r="14" spans="1:55" x14ac:dyDescent="0.15">
      <c r="A14" s="107">
        <v>9</v>
      </c>
      <c r="B14" s="369" t="s">
        <v>553</v>
      </c>
      <c r="C14" s="369"/>
      <c r="D14" s="370">
        <v>1054920</v>
      </c>
      <c r="E14" s="370">
        <v>84960</v>
      </c>
      <c r="F14" s="370">
        <v>973500</v>
      </c>
      <c r="G14" s="370">
        <v>647820</v>
      </c>
      <c r="H14" s="370">
        <v>3293380</v>
      </c>
      <c r="I14" s="370">
        <v>527460</v>
      </c>
      <c r="J14" s="370">
        <v>259600</v>
      </c>
      <c r="K14" s="370">
        <v>116820</v>
      </c>
      <c r="L14" s="370">
        <v>2829640</v>
      </c>
      <c r="M14" s="370">
        <v>1443140</v>
      </c>
      <c r="N14" s="370">
        <v>118000</v>
      </c>
      <c r="O14" s="370">
        <v>197060</v>
      </c>
      <c r="P14" s="370">
        <v>1083240</v>
      </c>
      <c r="Q14" s="370">
        <v>885000</v>
      </c>
      <c r="R14" s="370">
        <v>424800</v>
      </c>
      <c r="S14" s="370">
        <v>455480</v>
      </c>
      <c r="T14" s="370">
        <v>850780</v>
      </c>
      <c r="U14" s="370">
        <v>796500</v>
      </c>
      <c r="V14" s="370">
        <v>160480.00000000003</v>
      </c>
      <c r="W14" s="370">
        <v>572300</v>
      </c>
      <c r="X14" s="370">
        <v>397660</v>
      </c>
      <c r="Y14" s="370">
        <v>1049020</v>
      </c>
      <c r="Z14" s="370">
        <v>434240</v>
      </c>
      <c r="AA14" s="370">
        <v>743400</v>
      </c>
      <c r="AB14" s="370">
        <v>925120</v>
      </c>
      <c r="AC14" s="370">
        <v>246620</v>
      </c>
      <c r="AD14" s="370">
        <v>213580</v>
      </c>
      <c r="AE14" s="370">
        <v>290280</v>
      </c>
      <c r="AF14" s="370">
        <v>106200</v>
      </c>
      <c r="AG14" s="370">
        <v>739860</v>
      </c>
      <c r="AH14" s="370">
        <v>416540</v>
      </c>
      <c r="AI14" s="370">
        <v>1379420</v>
      </c>
      <c r="AJ14" s="370">
        <v>1447860</v>
      </c>
      <c r="AK14" s="370">
        <v>174640</v>
      </c>
      <c r="AL14" s="370">
        <v>1198880.0000000002</v>
      </c>
      <c r="AM14" s="370">
        <v>821280</v>
      </c>
      <c r="AN14" s="370">
        <v>390580</v>
      </c>
      <c r="AO14" s="370">
        <v>1517480</v>
      </c>
      <c r="AP14" s="370">
        <v>77880</v>
      </c>
      <c r="AQ14" s="370">
        <v>977040</v>
      </c>
      <c r="AR14" s="370">
        <v>130980</v>
      </c>
      <c r="AS14" s="370">
        <v>1116280</v>
      </c>
      <c r="AT14" s="370">
        <v>3558880</v>
      </c>
      <c r="AU14" s="370">
        <v>283200</v>
      </c>
      <c r="AV14" s="370">
        <v>64900</v>
      </c>
      <c r="AW14" s="370">
        <v>901520</v>
      </c>
      <c r="AX14" s="370">
        <v>539260</v>
      </c>
      <c r="AY14" s="370">
        <v>397660</v>
      </c>
      <c r="AZ14" s="370">
        <v>686760</v>
      </c>
      <c r="BA14" s="370">
        <v>159300</v>
      </c>
      <c r="BB14" s="370">
        <v>38193060</v>
      </c>
    </row>
    <row r="15" spans="1:55" x14ac:dyDescent="0.15">
      <c r="A15" s="107"/>
      <c r="B15" s="366" t="s">
        <v>1016</v>
      </c>
      <c r="C15" s="459">
        <v>9100</v>
      </c>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row>
    <row r="16" spans="1:55" x14ac:dyDescent="0.15">
      <c r="A16" s="107">
        <v>10</v>
      </c>
      <c r="B16" s="107" t="s">
        <v>554</v>
      </c>
      <c r="C16" s="458">
        <f>SUM(D16:BA16)/1000000000</f>
        <v>347.26692000000003</v>
      </c>
      <c r="D16" s="111">
        <f>D14*$C$15</f>
        <v>9599772000</v>
      </c>
      <c r="E16" s="111">
        <f t="shared" ref="E16:BB16" si="3">E14*$C$15</f>
        <v>773136000</v>
      </c>
      <c r="F16" s="111">
        <f t="shared" si="3"/>
        <v>8858850000</v>
      </c>
      <c r="G16" s="111">
        <f t="shared" si="3"/>
        <v>5895162000</v>
      </c>
      <c r="H16" s="111">
        <f t="shared" si="3"/>
        <v>29969758000</v>
      </c>
      <c r="I16" s="111">
        <f t="shared" si="3"/>
        <v>4799886000</v>
      </c>
      <c r="J16" s="111">
        <f t="shared" si="3"/>
        <v>2362360000</v>
      </c>
      <c r="K16" s="111">
        <f t="shared" si="3"/>
        <v>1063062000</v>
      </c>
      <c r="L16" s="111">
        <f t="shared" si="3"/>
        <v>25749724000</v>
      </c>
      <c r="M16" s="111">
        <f t="shared" si="3"/>
        <v>13132574000</v>
      </c>
      <c r="N16" s="111">
        <f t="shared" si="3"/>
        <v>1073800000</v>
      </c>
      <c r="O16" s="111">
        <f t="shared" si="3"/>
        <v>1793246000</v>
      </c>
      <c r="P16" s="111">
        <f t="shared" si="3"/>
        <v>9857484000</v>
      </c>
      <c r="Q16" s="111">
        <f t="shared" si="3"/>
        <v>8053500000</v>
      </c>
      <c r="R16" s="111">
        <f t="shared" si="3"/>
        <v>3865680000</v>
      </c>
      <c r="S16" s="111">
        <f t="shared" si="3"/>
        <v>4144868000</v>
      </c>
      <c r="T16" s="111">
        <f t="shared" si="3"/>
        <v>7742098000</v>
      </c>
      <c r="U16" s="111">
        <f t="shared" si="3"/>
        <v>7248150000</v>
      </c>
      <c r="V16" s="111">
        <f t="shared" si="3"/>
        <v>1460368000.0000002</v>
      </c>
      <c r="W16" s="111">
        <f t="shared" si="3"/>
        <v>5207930000</v>
      </c>
      <c r="X16" s="111">
        <f t="shared" si="3"/>
        <v>3618706000</v>
      </c>
      <c r="Y16" s="111">
        <f t="shared" si="3"/>
        <v>9546082000</v>
      </c>
      <c r="Z16" s="111">
        <f t="shared" si="3"/>
        <v>3951584000</v>
      </c>
      <c r="AA16" s="111">
        <f t="shared" si="3"/>
        <v>6764940000</v>
      </c>
      <c r="AB16" s="111">
        <f t="shared" si="3"/>
        <v>8418592000</v>
      </c>
      <c r="AC16" s="111">
        <f t="shared" si="3"/>
        <v>2244242000</v>
      </c>
      <c r="AD16" s="111">
        <f t="shared" si="3"/>
        <v>1943578000</v>
      </c>
      <c r="AE16" s="111">
        <f t="shared" si="3"/>
        <v>2641548000</v>
      </c>
      <c r="AF16" s="111">
        <f t="shared" si="3"/>
        <v>966420000</v>
      </c>
      <c r="AG16" s="111">
        <f t="shared" si="3"/>
        <v>6732726000</v>
      </c>
      <c r="AH16" s="111">
        <f t="shared" si="3"/>
        <v>3790514000</v>
      </c>
      <c r="AI16" s="111">
        <f t="shared" si="3"/>
        <v>12552722000</v>
      </c>
      <c r="AJ16" s="111">
        <f t="shared" si="3"/>
        <v>13175526000</v>
      </c>
      <c r="AK16" s="111">
        <f t="shared" si="3"/>
        <v>1589224000</v>
      </c>
      <c r="AL16" s="111">
        <f t="shared" si="3"/>
        <v>10909808000.000002</v>
      </c>
      <c r="AM16" s="111">
        <f t="shared" si="3"/>
        <v>7473648000</v>
      </c>
      <c r="AN16" s="111">
        <f t="shared" si="3"/>
        <v>3554278000</v>
      </c>
      <c r="AO16" s="111">
        <f t="shared" si="3"/>
        <v>13809068000</v>
      </c>
      <c r="AP16" s="111">
        <f t="shared" si="3"/>
        <v>708708000</v>
      </c>
      <c r="AQ16" s="111">
        <f t="shared" si="3"/>
        <v>8891064000</v>
      </c>
      <c r="AR16" s="111">
        <f t="shared" si="3"/>
        <v>1191918000</v>
      </c>
      <c r="AS16" s="111">
        <f t="shared" si="3"/>
        <v>10158148000</v>
      </c>
      <c r="AT16" s="111">
        <f t="shared" si="3"/>
        <v>32385808000</v>
      </c>
      <c r="AU16" s="111">
        <f t="shared" si="3"/>
        <v>2577120000</v>
      </c>
      <c r="AV16" s="111">
        <f t="shared" si="3"/>
        <v>590590000</v>
      </c>
      <c r="AW16" s="111">
        <f t="shared" si="3"/>
        <v>8203832000</v>
      </c>
      <c r="AX16" s="111">
        <f t="shared" si="3"/>
        <v>4907266000</v>
      </c>
      <c r="AY16" s="111">
        <f t="shared" si="3"/>
        <v>3618706000</v>
      </c>
      <c r="AZ16" s="111">
        <f t="shared" si="3"/>
        <v>6249516000</v>
      </c>
      <c r="BA16" s="111">
        <f t="shared" si="3"/>
        <v>1449630000</v>
      </c>
      <c r="BB16" s="111">
        <f t="shared" si="3"/>
        <v>347556846000</v>
      </c>
    </row>
    <row r="17" spans="1:3" x14ac:dyDescent="0.15">
      <c r="A17" s="108"/>
      <c r="B17" s="114"/>
      <c r="C17" s="114"/>
    </row>
    <row r="18" spans="1:3" x14ac:dyDescent="0.2">
      <c r="A18" s="108"/>
      <c r="B18" s="103" t="s">
        <v>579</v>
      </c>
      <c r="C18" s="103"/>
    </row>
    <row r="19" spans="1:3" x14ac:dyDescent="0.15">
      <c r="A19" s="108">
        <v>1</v>
      </c>
      <c r="B19" s="64" t="s">
        <v>642</v>
      </c>
      <c r="C19" s="64"/>
    </row>
    <row r="20" spans="1:3" x14ac:dyDescent="0.15">
      <c r="A20" s="108">
        <v>2</v>
      </c>
      <c r="B20" s="107" t="s">
        <v>673</v>
      </c>
      <c r="C20" s="107"/>
    </row>
    <row r="21" spans="1:3" x14ac:dyDescent="0.15">
      <c r="A21" s="108">
        <v>3</v>
      </c>
      <c r="B21" s="102" t="s">
        <v>640</v>
      </c>
      <c r="C21" s="102"/>
    </row>
    <row r="22" spans="1:3" x14ac:dyDescent="0.15">
      <c r="A22" s="108">
        <v>4</v>
      </c>
      <c r="B22" s="107" t="s">
        <v>641</v>
      </c>
      <c r="C22" s="107"/>
    </row>
    <row r="23" spans="1:3" x14ac:dyDescent="0.15">
      <c r="A23" s="108">
        <v>5</v>
      </c>
      <c r="B23" s="117" t="s">
        <v>643</v>
      </c>
      <c r="C23" s="117"/>
    </row>
    <row r="24" spans="1:3" x14ac:dyDescent="0.15">
      <c r="A24" s="108">
        <v>6</v>
      </c>
      <c r="B24" s="107" t="s">
        <v>555</v>
      </c>
      <c r="C24" s="107"/>
    </row>
    <row r="25" spans="1:3" x14ac:dyDescent="0.15">
      <c r="A25" s="108">
        <v>7</v>
      </c>
      <c r="B25" s="107" t="s">
        <v>556</v>
      </c>
      <c r="C25" s="107"/>
    </row>
    <row r="26" spans="1:3" x14ac:dyDescent="0.15">
      <c r="A26" s="108">
        <v>8</v>
      </c>
      <c r="B26" s="107" t="s">
        <v>555</v>
      </c>
      <c r="C26" s="107"/>
    </row>
    <row r="27" spans="1:3" x14ac:dyDescent="0.15">
      <c r="A27" s="108">
        <v>9</v>
      </c>
      <c r="B27" s="107" t="s">
        <v>557</v>
      </c>
      <c r="C27" s="107"/>
    </row>
    <row r="28" spans="1:3" x14ac:dyDescent="0.15">
      <c r="A28" s="108">
        <v>10</v>
      </c>
      <c r="B28" s="107" t="s">
        <v>558</v>
      </c>
      <c r="C28" s="107"/>
    </row>
    <row r="29" spans="1:3" x14ac:dyDescent="0.15">
      <c r="A29" s="108"/>
      <c r="B29" s="108"/>
      <c r="C29" s="108"/>
    </row>
    <row r="30" spans="1:3" x14ac:dyDescent="0.15">
      <c r="A30" s="108"/>
      <c r="B30" s="108"/>
      <c r="C30" s="108"/>
    </row>
    <row r="31" spans="1:3" x14ac:dyDescent="0.15">
      <c r="A31" s="108"/>
      <c r="B31" s="108"/>
      <c r="C31" s="108"/>
    </row>
    <row r="32" spans="1:3" x14ac:dyDescent="0.15">
      <c r="A32" s="108"/>
      <c r="B32" s="108"/>
      <c r="C32" s="108"/>
    </row>
    <row r="33" spans="1:3" x14ac:dyDescent="0.15">
      <c r="A33" s="108"/>
      <c r="B33" s="108"/>
      <c r="C33" s="108"/>
    </row>
    <row r="34" spans="1:3" x14ac:dyDescent="0.15">
      <c r="A34" s="108"/>
      <c r="B34" s="108"/>
      <c r="C34" s="108"/>
    </row>
    <row r="35" spans="1:3" x14ac:dyDescent="0.15">
      <c r="A35" s="108"/>
      <c r="B35" s="108"/>
      <c r="C35" s="108"/>
    </row>
    <row r="36" spans="1:3" x14ac:dyDescent="0.15">
      <c r="A36" s="108"/>
      <c r="B36" s="108"/>
      <c r="C36" s="108"/>
    </row>
    <row r="37" spans="1:3" x14ac:dyDescent="0.15">
      <c r="A37" s="108"/>
      <c r="B37" s="108"/>
      <c r="C37" s="108"/>
    </row>
    <row r="38" spans="1:3" x14ac:dyDescent="0.15">
      <c r="A38" s="108"/>
      <c r="B38" s="108"/>
      <c r="C38" s="108"/>
    </row>
    <row r="39" spans="1:3" x14ac:dyDescent="0.15">
      <c r="A39" s="116"/>
      <c r="B39" s="108"/>
      <c r="C39" s="108"/>
    </row>
  </sheetData>
  <phoneticPr fontId="103" type="noConversion"/>
  <hyperlinks>
    <hyperlink ref="B20" r:id="rId1"/>
  </hyperlinks>
  <pageMargins left="0.75" right="0.75" top="1" bottom="1"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85"/>
  <sheetViews>
    <sheetView workbookViewId="0">
      <selection activeCell="BE86" sqref="BE86"/>
    </sheetView>
  </sheetViews>
  <sheetFormatPr baseColWidth="10" defaultRowHeight="16" x14ac:dyDescent="0.2"/>
  <cols>
    <col min="1" max="1" width="10.83203125" style="7"/>
    <col min="2" max="2" width="42" style="7" customWidth="1"/>
    <col min="3" max="3" width="22.5" style="7" customWidth="1"/>
    <col min="4" max="4" width="15.5" style="18" customWidth="1"/>
    <col min="5" max="5" width="11.5" style="18" bestFit="1" customWidth="1"/>
    <col min="6" max="6" width="11" style="18" bestFit="1" customWidth="1"/>
    <col min="7" max="7" width="11.5" style="18" bestFit="1" customWidth="1"/>
    <col min="8" max="8" width="11" style="18" bestFit="1" customWidth="1"/>
    <col min="9" max="9" width="13.1640625" style="18" bestFit="1" customWidth="1"/>
    <col min="10" max="11" width="11.5" style="18" bestFit="1" customWidth="1"/>
    <col min="12" max="13" width="11" style="18" bestFit="1" customWidth="1"/>
    <col min="14" max="15" width="11.5" style="18" bestFit="1" customWidth="1"/>
    <col min="16" max="17" width="11" style="18" bestFit="1" customWidth="1"/>
    <col min="18" max="23" width="11.5" style="18" bestFit="1" customWidth="1"/>
    <col min="24" max="24" width="11" style="18" bestFit="1" customWidth="1"/>
    <col min="25" max="28" width="11.5" style="18" bestFit="1" customWidth="1"/>
    <col min="29" max="29" width="11" style="18" bestFit="1" customWidth="1"/>
    <col min="30" max="30" width="11.5" style="18" bestFit="1" customWidth="1"/>
    <col min="31" max="32" width="11" style="18" bestFit="1" customWidth="1"/>
    <col min="33" max="33" width="11.5" style="18" bestFit="1" customWidth="1"/>
    <col min="34" max="34" width="11" style="18" bestFit="1" customWidth="1"/>
    <col min="35" max="35" width="11.5" style="18" bestFit="1" customWidth="1"/>
    <col min="36" max="36" width="11" style="18" bestFit="1" customWidth="1"/>
    <col min="37" max="37" width="13.1640625" style="18" bestFit="1" customWidth="1"/>
    <col min="38" max="38" width="11.5" style="18" bestFit="1" customWidth="1"/>
    <col min="39" max="39" width="11" style="18" bestFit="1" customWidth="1"/>
    <col min="40" max="43" width="11.5" style="18" bestFit="1" customWidth="1"/>
    <col min="44" max="44" width="11" style="18" bestFit="1" customWidth="1"/>
    <col min="45" max="45" width="11.5" style="18" bestFit="1" customWidth="1"/>
    <col min="46" max="46" width="11" style="18" bestFit="1" customWidth="1"/>
    <col min="47" max="47" width="11.5" style="18" bestFit="1" customWidth="1"/>
    <col min="48" max="48" width="13.1640625" style="18" bestFit="1" customWidth="1"/>
    <col min="49" max="49" width="11.5" style="18" bestFit="1" customWidth="1"/>
    <col min="50" max="50" width="11" style="18" bestFit="1" customWidth="1"/>
    <col min="51" max="52" width="11.5" style="18" bestFit="1" customWidth="1"/>
    <col min="53" max="53" width="11" style="18" bestFit="1" customWidth="1"/>
    <col min="54" max="54" width="11.5" style="18" bestFit="1" customWidth="1"/>
    <col min="55" max="55" width="11" style="7" bestFit="1" customWidth="1"/>
    <col min="56" max="56" width="10.83203125" style="9"/>
    <col min="57" max="16384" width="10.83203125" style="7"/>
  </cols>
  <sheetData>
    <row r="1" spans="1:56" s="220" customFormat="1" x14ac:dyDescent="0.2">
      <c r="B1" s="220">
        <v>2011</v>
      </c>
      <c r="D1" s="373"/>
      <c r="E1" s="373">
        <v>1</v>
      </c>
      <c r="F1" s="373">
        <f>E1+1</f>
        <v>2</v>
      </c>
      <c r="G1" s="373">
        <f t="shared" ref="G1:L1" si="0">F1+1</f>
        <v>3</v>
      </c>
      <c r="H1" s="373">
        <f t="shared" si="0"/>
        <v>4</v>
      </c>
      <c r="I1" s="373">
        <f t="shared" si="0"/>
        <v>5</v>
      </c>
      <c r="J1" s="373">
        <f t="shared" si="0"/>
        <v>6</v>
      </c>
      <c r="K1" s="373">
        <f t="shared" si="0"/>
        <v>7</v>
      </c>
      <c r="L1" s="373">
        <f t="shared" si="0"/>
        <v>8</v>
      </c>
      <c r="M1" s="373">
        <f t="shared" ref="M1" si="1">L1+1</f>
        <v>9</v>
      </c>
      <c r="N1" s="373">
        <f t="shared" ref="N1" si="2">M1+1</f>
        <v>10</v>
      </c>
      <c r="O1" s="373">
        <f t="shared" ref="O1" si="3">N1+1</f>
        <v>11</v>
      </c>
      <c r="P1" s="373">
        <f t="shared" ref="P1" si="4">O1+1</f>
        <v>12</v>
      </c>
      <c r="Q1" s="373">
        <f t="shared" ref="Q1" si="5">P1+1</f>
        <v>13</v>
      </c>
      <c r="R1" s="373">
        <f t="shared" ref="R1" si="6">Q1+1</f>
        <v>14</v>
      </c>
      <c r="S1" s="373">
        <f t="shared" ref="S1" si="7">R1+1</f>
        <v>15</v>
      </c>
      <c r="T1" s="373">
        <f t="shared" ref="T1" si="8">S1+1</f>
        <v>16</v>
      </c>
      <c r="U1" s="373">
        <f t="shared" ref="U1" si="9">T1+1</f>
        <v>17</v>
      </c>
      <c r="V1" s="373">
        <f t="shared" ref="V1" si="10">U1+1</f>
        <v>18</v>
      </c>
      <c r="W1" s="373">
        <f t="shared" ref="W1" si="11">V1+1</f>
        <v>19</v>
      </c>
      <c r="X1" s="373">
        <f t="shared" ref="X1" si="12">W1+1</f>
        <v>20</v>
      </c>
      <c r="Y1" s="373">
        <f t="shared" ref="Y1" si="13">X1+1</f>
        <v>21</v>
      </c>
      <c r="Z1" s="373">
        <f t="shared" ref="Z1" si="14">Y1+1</f>
        <v>22</v>
      </c>
      <c r="AA1" s="373">
        <f t="shared" ref="AA1" si="15">Z1+1</f>
        <v>23</v>
      </c>
      <c r="AB1" s="373">
        <f t="shared" ref="AB1" si="16">AA1+1</f>
        <v>24</v>
      </c>
      <c r="AC1" s="373">
        <f t="shared" ref="AC1" si="17">AB1+1</f>
        <v>25</v>
      </c>
      <c r="AD1" s="373">
        <f t="shared" ref="AD1" si="18">AC1+1</f>
        <v>26</v>
      </c>
      <c r="AE1" s="373">
        <f t="shared" ref="AE1" si="19">AD1+1</f>
        <v>27</v>
      </c>
      <c r="AF1" s="373">
        <f t="shared" ref="AF1" si="20">AE1+1</f>
        <v>28</v>
      </c>
      <c r="AG1" s="373">
        <f t="shared" ref="AG1" si="21">AF1+1</f>
        <v>29</v>
      </c>
      <c r="AH1" s="373">
        <f t="shared" ref="AH1" si="22">AG1+1</f>
        <v>30</v>
      </c>
      <c r="AI1" s="373">
        <f t="shared" ref="AI1" si="23">AH1+1</f>
        <v>31</v>
      </c>
      <c r="AJ1" s="373">
        <f t="shared" ref="AJ1" si="24">AI1+1</f>
        <v>32</v>
      </c>
      <c r="AK1" s="373">
        <f t="shared" ref="AK1" si="25">AJ1+1</f>
        <v>33</v>
      </c>
      <c r="AL1" s="373">
        <f t="shared" ref="AL1" si="26">AK1+1</f>
        <v>34</v>
      </c>
      <c r="AM1" s="373">
        <f t="shared" ref="AM1" si="27">AL1+1</f>
        <v>35</v>
      </c>
      <c r="AN1" s="373">
        <f t="shared" ref="AN1" si="28">AM1+1</f>
        <v>36</v>
      </c>
      <c r="AO1" s="373">
        <f t="shared" ref="AO1" si="29">AN1+1</f>
        <v>37</v>
      </c>
      <c r="AP1" s="373">
        <f t="shared" ref="AP1" si="30">AO1+1</f>
        <v>38</v>
      </c>
      <c r="AQ1" s="373">
        <f t="shared" ref="AQ1" si="31">AP1+1</f>
        <v>39</v>
      </c>
      <c r="AR1" s="373">
        <f t="shared" ref="AR1" si="32">AQ1+1</f>
        <v>40</v>
      </c>
      <c r="AS1" s="373">
        <f t="shared" ref="AS1" si="33">AR1+1</f>
        <v>41</v>
      </c>
      <c r="AT1" s="373">
        <f t="shared" ref="AT1" si="34">AS1+1</f>
        <v>42</v>
      </c>
      <c r="AU1" s="373">
        <f t="shared" ref="AU1" si="35">AT1+1</f>
        <v>43</v>
      </c>
      <c r="AV1" s="373">
        <f t="shared" ref="AV1" si="36">AU1+1</f>
        <v>44</v>
      </c>
      <c r="AW1" s="373">
        <f t="shared" ref="AW1" si="37">AV1+1</f>
        <v>45</v>
      </c>
      <c r="AX1" s="373">
        <f t="shared" ref="AX1" si="38">AW1+1</f>
        <v>46</v>
      </c>
      <c r="AY1" s="373">
        <f t="shared" ref="AY1" si="39">AX1+1</f>
        <v>47</v>
      </c>
      <c r="AZ1" s="373">
        <f t="shared" ref="AZ1" si="40">AY1+1</f>
        <v>48</v>
      </c>
      <c r="BA1" s="373">
        <f t="shared" ref="BA1" si="41">AZ1+1</f>
        <v>49</v>
      </c>
      <c r="BB1" s="373">
        <f t="shared" ref="BB1" si="42">BA1+1</f>
        <v>50</v>
      </c>
      <c r="BD1" s="9"/>
    </row>
    <row r="2" spans="1:56" s="220" customFormat="1" x14ac:dyDescent="0.2">
      <c r="D2" s="373" t="s">
        <v>95</v>
      </c>
      <c r="E2" s="380" t="s">
        <v>144</v>
      </c>
      <c r="F2" s="380" t="s">
        <v>145</v>
      </c>
      <c r="G2" s="380" t="s">
        <v>146</v>
      </c>
      <c r="H2" s="380" t="s">
        <v>147</v>
      </c>
      <c r="I2" s="380" t="s">
        <v>148</v>
      </c>
      <c r="J2" s="380" t="s">
        <v>149</v>
      </c>
      <c r="K2" s="380" t="s">
        <v>150</v>
      </c>
      <c r="L2" s="380" t="s">
        <v>151</v>
      </c>
      <c r="M2" s="380" t="s">
        <v>152</v>
      </c>
      <c r="N2" s="380" t="s">
        <v>153</v>
      </c>
      <c r="O2" s="380" t="s">
        <v>154</v>
      </c>
      <c r="P2" s="380" t="s">
        <v>155</v>
      </c>
      <c r="Q2" s="380" t="s">
        <v>156</v>
      </c>
      <c r="R2" s="380" t="s">
        <v>2</v>
      </c>
      <c r="S2" s="380" t="s">
        <v>3</v>
      </c>
      <c r="T2" s="380" t="s">
        <v>4</v>
      </c>
      <c r="U2" s="380" t="s">
        <v>5</v>
      </c>
      <c r="V2" s="380" t="s">
        <v>6</v>
      </c>
      <c r="W2" s="380" t="s">
        <v>7</v>
      </c>
      <c r="X2" s="380" t="s">
        <v>8</v>
      </c>
      <c r="Y2" s="380" t="s">
        <v>9</v>
      </c>
      <c r="Z2" s="380" t="s">
        <v>10</v>
      </c>
      <c r="AA2" s="380" t="s">
        <v>11</v>
      </c>
      <c r="AB2" s="380" t="s">
        <v>12</v>
      </c>
      <c r="AC2" s="380" t="s">
        <v>13</v>
      </c>
      <c r="AD2" s="380" t="s">
        <v>14</v>
      </c>
      <c r="AE2" s="380" t="s">
        <v>15</v>
      </c>
      <c r="AF2" s="380" t="s">
        <v>16</v>
      </c>
      <c r="AG2" s="380" t="s">
        <v>17</v>
      </c>
      <c r="AH2" s="380" t="s">
        <v>18</v>
      </c>
      <c r="AI2" s="380" t="s">
        <v>19</v>
      </c>
      <c r="AJ2" s="380" t="s">
        <v>20</v>
      </c>
      <c r="AK2" s="380" t="s">
        <v>21</v>
      </c>
      <c r="AL2" s="380" t="s">
        <v>22</v>
      </c>
      <c r="AM2" s="380" t="s">
        <v>23</v>
      </c>
      <c r="AN2" s="380" t="s">
        <v>24</v>
      </c>
      <c r="AO2" s="380" t="s">
        <v>25</v>
      </c>
      <c r="AP2" s="380" t="s">
        <v>26</v>
      </c>
      <c r="AQ2" s="380" t="s">
        <v>27</v>
      </c>
      <c r="AR2" s="380" t="s">
        <v>28</v>
      </c>
      <c r="AS2" s="380" t="s">
        <v>29</v>
      </c>
      <c r="AT2" s="380" t="s">
        <v>30</v>
      </c>
      <c r="AU2" s="380" t="s">
        <v>31</v>
      </c>
      <c r="AV2" s="380" t="s">
        <v>32</v>
      </c>
      <c r="AW2" s="380" t="s">
        <v>33</v>
      </c>
      <c r="AX2" s="380" t="s">
        <v>34</v>
      </c>
      <c r="AY2" s="380" t="s">
        <v>35</v>
      </c>
      <c r="AZ2" s="380" t="s">
        <v>36</v>
      </c>
      <c r="BA2" s="380" t="s">
        <v>37</v>
      </c>
      <c r="BB2" s="380" t="s">
        <v>38</v>
      </c>
    </row>
    <row r="3" spans="1:56" s="220" customFormat="1" x14ac:dyDescent="0.2">
      <c r="C3" s="7"/>
      <c r="D3" s="373" t="s">
        <v>96</v>
      </c>
      <c r="E3" s="373" t="s">
        <v>39</v>
      </c>
      <c r="F3" s="373" t="s">
        <v>40</v>
      </c>
      <c r="G3" s="373" t="s">
        <v>41</v>
      </c>
      <c r="H3" s="373" t="s">
        <v>42</v>
      </c>
      <c r="I3" s="373" t="s">
        <v>43</v>
      </c>
      <c r="J3" s="373" t="s">
        <v>44</v>
      </c>
      <c r="K3" s="373" t="s">
        <v>45</v>
      </c>
      <c r="L3" s="373" t="s">
        <v>46</v>
      </c>
      <c r="M3" s="373" t="s">
        <v>47</v>
      </c>
      <c r="N3" s="373" t="s">
        <v>48</v>
      </c>
      <c r="O3" s="373" t="s">
        <v>49</v>
      </c>
      <c r="P3" s="373" t="s">
        <v>50</v>
      </c>
      <c r="Q3" s="373" t="s">
        <v>51</v>
      </c>
      <c r="R3" s="373" t="s">
        <v>52</v>
      </c>
      <c r="S3" s="373" t="s">
        <v>53</v>
      </c>
      <c r="T3" s="373" t="s">
        <v>54</v>
      </c>
      <c r="U3" s="373" t="s">
        <v>55</v>
      </c>
      <c r="V3" s="373" t="s">
        <v>56</v>
      </c>
      <c r="W3" s="373" t="s">
        <v>57</v>
      </c>
      <c r="X3" s="373" t="s">
        <v>58</v>
      </c>
      <c r="Y3" s="373" t="s">
        <v>59</v>
      </c>
      <c r="Z3" s="373" t="s">
        <v>60</v>
      </c>
      <c r="AA3" s="373" t="s">
        <v>61</v>
      </c>
      <c r="AB3" s="373" t="s">
        <v>62</v>
      </c>
      <c r="AC3" s="373" t="s">
        <v>63</v>
      </c>
      <c r="AD3" s="373" t="s">
        <v>64</v>
      </c>
      <c r="AE3" s="373" t="s">
        <v>65</v>
      </c>
      <c r="AF3" s="373" t="s">
        <v>66</v>
      </c>
      <c r="AG3" s="373" t="s">
        <v>67</v>
      </c>
      <c r="AH3" s="373" t="s">
        <v>68</v>
      </c>
      <c r="AI3" s="373" t="s">
        <v>69</v>
      </c>
      <c r="AJ3" s="373" t="s">
        <v>70</v>
      </c>
      <c r="AK3" s="373" t="s">
        <v>71</v>
      </c>
      <c r="AL3" s="373" t="s">
        <v>72</v>
      </c>
      <c r="AM3" s="373" t="s">
        <v>73</v>
      </c>
      <c r="AN3" s="373" t="s">
        <v>74</v>
      </c>
      <c r="AO3" s="373" t="s">
        <v>75</v>
      </c>
      <c r="AP3" s="373" t="s">
        <v>76</v>
      </c>
      <c r="AQ3" s="373" t="s">
        <v>77</v>
      </c>
      <c r="AR3" s="373" t="s">
        <v>78</v>
      </c>
      <c r="AS3" s="373" t="s">
        <v>79</v>
      </c>
      <c r="AT3" s="373" t="s">
        <v>80</v>
      </c>
      <c r="AU3" s="373" t="s">
        <v>81</v>
      </c>
      <c r="AV3" s="373" t="s">
        <v>82</v>
      </c>
      <c r="AW3" s="373" t="s">
        <v>83</v>
      </c>
      <c r="AX3" s="373" t="s">
        <v>84</v>
      </c>
      <c r="AY3" s="373" t="s">
        <v>85</v>
      </c>
      <c r="AZ3" s="373" t="s">
        <v>86</v>
      </c>
      <c r="BA3" s="373" t="s">
        <v>87</v>
      </c>
      <c r="BB3" s="373" t="s">
        <v>88</v>
      </c>
      <c r="BD3" s="9"/>
    </row>
    <row r="4" spans="1:56" s="220" customFormat="1" x14ac:dyDescent="0.2">
      <c r="C4" s="7"/>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D4" s="9"/>
    </row>
    <row r="5" spans="1:56" s="220" customFormat="1" x14ac:dyDescent="0.2">
      <c r="C5" s="7"/>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D5" s="9"/>
    </row>
    <row r="6" spans="1:56" x14ac:dyDescent="0.2">
      <c r="B6" s="7" t="s">
        <v>104</v>
      </c>
      <c r="C6" s="385" t="s">
        <v>1017</v>
      </c>
      <c r="D6" s="371">
        <f t="shared" ref="D6:BB6" si="43">D7-D8+D9-D10-D11+D12-D13-D14-D15-D16-D17-D18-D19-D20-D21+D22-D23-D24-D25+D26-D27+D28+D29-D30-D31</f>
        <v>17295.307504444521</v>
      </c>
      <c r="E6" s="371">
        <f t="shared" si="43"/>
        <v>-943.03630457504187</v>
      </c>
      <c r="F6" s="371">
        <f t="shared" si="43"/>
        <v>65314.568265809387</v>
      </c>
      <c r="G6" s="371">
        <f t="shared" si="43"/>
        <v>17062.447527475539</v>
      </c>
      <c r="H6" s="371">
        <f t="shared" si="43"/>
        <v>779.40140520363275</v>
      </c>
      <c r="I6" s="371">
        <f t="shared" si="43"/>
        <v>24425.087041859533</v>
      </c>
      <c r="J6" s="371">
        <f t="shared" si="43"/>
        <v>21471.973763737715</v>
      </c>
      <c r="K6" s="371">
        <f t="shared" si="43"/>
        <v>29910.370001544856</v>
      </c>
      <c r="L6" s="371">
        <f t="shared" si="43"/>
        <v>22307.608079747428</v>
      </c>
      <c r="M6" s="371">
        <f t="shared" si="43"/>
        <v>19771.027293061248</v>
      </c>
      <c r="N6" s="371">
        <f t="shared" si="43"/>
        <v>12139.021270803574</v>
      </c>
      <c r="O6" s="371">
        <f t="shared" si="43"/>
        <v>29791.266721159882</v>
      </c>
      <c r="P6" s="371">
        <f t="shared" si="43"/>
        <v>19355.29709803185</v>
      </c>
      <c r="Q6" s="371">
        <f t="shared" si="43"/>
        <v>17944.070078211025</v>
      </c>
      <c r="R6" s="371">
        <f t="shared" si="43"/>
        <v>7237.9275724452418</v>
      </c>
      <c r="S6" s="371">
        <f t="shared" si="43"/>
        <v>10816.593772428412</v>
      </c>
      <c r="T6" s="371">
        <f t="shared" si="43"/>
        <v>12101.630555049822</v>
      </c>
      <c r="U6" s="371">
        <f t="shared" si="43"/>
        <v>2103.7214998477994</v>
      </c>
      <c r="V6" s="371">
        <f t="shared" si="43"/>
        <v>-9592.83266910366</v>
      </c>
      <c r="W6" s="371">
        <f t="shared" si="43"/>
        <v>21379.661112710102</v>
      </c>
      <c r="X6" s="371">
        <f t="shared" si="43"/>
        <v>27436.135272593914</v>
      </c>
      <c r="Y6" s="371">
        <f t="shared" si="43"/>
        <v>35029.814427994672</v>
      </c>
      <c r="Z6" s="371">
        <f t="shared" si="43"/>
        <v>16453.385413491524</v>
      </c>
      <c r="AA6" s="371">
        <f t="shared" si="43"/>
        <v>22039.777839690887</v>
      </c>
      <c r="AB6" s="371">
        <f t="shared" si="43"/>
        <v>332.50150929958181</v>
      </c>
      <c r="AC6" s="371">
        <f t="shared" si="43"/>
        <v>12749.027329315471</v>
      </c>
      <c r="AD6" s="371">
        <f t="shared" si="43"/>
        <v>13918.092721813731</v>
      </c>
      <c r="AE6" s="371">
        <f t="shared" si="43"/>
        <v>13215.982624653527</v>
      </c>
      <c r="AF6" s="371">
        <f t="shared" si="43"/>
        <v>24732.604149566876</v>
      </c>
      <c r="AG6" s="371">
        <f t="shared" si="43"/>
        <v>27236.788821407867</v>
      </c>
      <c r="AH6" s="371">
        <f t="shared" si="43"/>
        <v>26897.723148995072</v>
      </c>
      <c r="AI6" s="371">
        <f t="shared" si="43"/>
        <v>9174.8527416720808</v>
      </c>
      <c r="AJ6" s="371">
        <f t="shared" si="43"/>
        <v>28844.604524557311</v>
      </c>
      <c r="AK6" s="371">
        <f t="shared" si="43"/>
        <v>13090.954709893263</v>
      </c>
      <c r="AL6" s="371">
        <f t="shared" si="43"/>
        <v>-7620.3368900940823</v>
      </c>
      <c r="AM6" s="371">
        <f t="shared" si="43"/>
        <v>14717.334460934704</v>
      </c>
      <c r="AN6" s="371">
        <f t="shared" si="43"/>
        <v>5974.6912873212095</v>
      </c>
      <c r="AO6" s="371">
        <f t="shared" si="43"/>
        <v>24928.213371538935</v>
      </c>
      <c r="AP6" s="371">
        <f t="shared" si="43"/>
        <v>16417.96149501171</v>
      </c>
      <c r="AQ6" s="371">
        <f t="shared" si="43"/>
        <v>27032.812553773318</v>
      </c>
      <c r="AR6" s="371">
        <f t="shared" si="43"/>
        <v>7121.8437064503651</v>
      </c>
      <c r="AS6" s="371">
        <f t="shared" si="43"/>
        <v>22764.325306858402</v>
      </c>
      <c r="AT6" s="371">
        <f t="shared" si="43"/>
        <v>11457.038130860456</v>
      </c>
      <c r="AU6" s="371">
        <f t="shared" si="43"/>
        <v>6161.7417676242912</v>
      </c>
      <c r="AV6" s="371">
        <f t="shared" si="43"/>
        <v>16872.479814119033</v>
      </c>
      <c r="AW6" s="371">
        <f t="shared" si="43"/>
        <v>25480.57341441363</v>
      </c>
      <c r="AX6" s="371">
        <f t="shared" si="43"/>
        <v>22409.298810872569</v>
      </c>
      <c r="AY6" s="371">
        <f t="shared" si="43"/>
        <v>29157.717267022508</v>
      </c>
      <c r="AZ6" s="371">
        <f t="shared" si="43"/>
        <v>-4924.2618386140848</v>
      </c>
      <c r="BA6" s="371">
        <f t="shared" si="43"/>
        <v>17056.770934400167</v>
      </c>
      <c r="BB6" s="371">
        <f t="shared" si="43"/>
        <v>-31902.896936614201</v>
      </c>
    </row>
    <row r="7" spans="1:56" s="381" customFormat="1" x14ac:dyDescent="0.2">
      <c r="A7" s="18">
        <v>1</v>
      </c>
      <c r="B7" s="381" t="s">
        <v>105</v>
      </c>
      <c r="C7" s="385" t="s">
        <v>1017</v>
      </c>
      <c r="D7" s="371">
        <f>'GPI Summary'!C5/D$34*1000000000</f>
        <v>34372.101437470272</v>
      </c>
      <c r="E7" s="371">
        <f>'GPI Summary'!D5/E$34*1000000000</f>
        <v>28268.89917311466</v>
      </c>
      <c r="F7" s="371">
        <f>'GPI Summary'!E5/F$34*1000000000</f>
        <v>35142.154560274088</v>
      </c>
      <c r="G7" s="371">
        <f>'GPI Summary'!F5/G$34*1000000000</f>
        <v>34266.616053184356</v>
      </c>
      <c r="H7" s="371">
        <f>'GPI Summary'!G5/H$34*1000000000</f>
        <v>27227.417849833699</v>
      </c>
      <c r="I7" s="371">
        <f>'GPI Summary'!H5/I$34*1000000000</f>
        <v>37280.901651109511</v>
      </c>
      <c r="J7" s="371">
        <f>'GPI Summary'!I5/J$34*1000000000</f>
        <v>34794.075877459924</v>
      </c>
      <c r="K7" s="371">
        <f>'GPI Summary'!J5/K$34*1000000000</f>
        <v>41764.934339676089</v>
      </c>
      <c r="L7" s="371">
        <f>'GPI Summary'!K5/L$34*1000000000</f>
        <v>37143.07422778722</v>
      </c>
      <c r="M7" s="371">
        <f>'GPI Summary'!L5/M$34*1000000000</f>
        <v>36398.20059068469</v>
      </c>
      <c r="N7" s="371">
        <f>'GPI Summary'!M5/N$34*1000000000</f>
        <v>31070.903728524754</v>
      </c>
      <c r="O7" s="371">
        <f>'GPI Summary'!N5/O$34*1000000000</f>
        <v>36730.959148236485</v>
      </c>
      <c r="P7" s="371">
        <f>'GPI Summary'!O5/P$34*1000000000</f>
        <v>31089.620544734502</v>
      </c>
      <c r="Q7" s="371">
        <f>'GPI Summary'!P5/Q$34*1000000000</f>
        <v>34627.261863214779</v>
      </c>
      <c r="R7" s="371">
        <f>'GPI Summary'!Q5/R$34*1000000000</f>
        <v>30878.314910195935</v>
      </c>
      <c r="S7" s="371">
        <f>'GPI Summary'!R5/S$34*1000000000</f>
        <v>31174.274182573201</v>
      </c>
      <c r="T7" s="371">
        <f>'GPI Summary'!S5/T$34*1000000000</f>
        <v>30770.077613254805</v>
      </c>
      <c r="U7" s="371">
        <f>'GPI Summary'!T5/U$34*1000000000</f>
        <v>29189.702148980927</v>
      </c>
      <c r="V7" s="371">
        <f>'GPI Summary'!U5/V$34*1000000000</f>
        <v>32261.322218447895</v>
      </c>
      <c r="W7" s="371">
        <f>'GPI Summary'!V5/W$34*1000000000</f>
        <v>36250.963460751023</v>
      </c>
      <c r="X7" s="371">
        <f>'GPI Summary'!W5/X$34*1000000000</f>
        <v>38723.385891979749</v>
      </c>
      <c r="Y7" s="371">
        <f>'GPI Summary'!X5/Y$34*1000000000</f>
        <v>44786.720998915844</v>
      </c>
      <c r="Z7" s="371">
        <f>'GPI Summary'!Y5/Z$34*1000000000</f>
        <v>31211.117850810195</v>
      </c>
      <c r="AA7" s="371">
        <f>'GPI Summary'!Z5/AA$34*1000000000</f>
        <v>36179.012993288765</v>
      </c>
      <c r="AB7" s="371">
        <f>'GPI Summary'!AA5/AB$34*1000000000</f>
        <v>28060.52278840635</v>
      </c>
      <c r="AC7" s="371">
        <f>'GPI Summary'!AB5/AC$34*1000000000</f>
        <v>32212.600333101233</v>
      </c>
      <c r="AD7" s="371">
        <f>'GPI Summary'!AC5/AD$34*1000000000</f>
        <v>35515.858497875546</v>
      </c>
      <c r="AE7" s="371">
        <f>'GPI Summary'!AD5/AE$34*1000000000</f>
        <v>32146.839109472519</v>
      </c>
      <c r="AF7" s="371">
        <f>'GPI Summary'!AE5/AF$34*1000000000</f>
        <v>34319.499652209459</v>
      </c>
      <c r="AG7" s="371">
        <f>'GPI Summary'!AF5/AG$34*1000000000</f>
        <v>38388.018882886492</v>
      </c>
      <c r="AH7" s="371">
        <f>'GPI Summary'!AG5/AH$34*1000000000</f>
        <v>40452.99183125588</v>
      </c>
      <c r="AI7" s="371">
        <f>'GPI Summary'!AH5/AI$34*1000000000</f>
        <v>31448.413748379971</v>
      </c>
      <c r="AJ7" s="371">
        <f>'GPI Summary'!AI5/AJ$34*1000000000</f>
        <v>38934.41446083237</v>
      </c>
      <c r="AK7" s="371">
        <f>'GPI Summary'!AJ5/AK$34*1000000000</f>
        <v>30665.095999907986</v>
      </c>
      <c r="AL7" s="371">
        <f>'GPI Summary'!AK5/AL$34*1000000000</f>
        <v>37149.867102841956</v>
      </c>
      <c r="AM7" s="371">
        <f>'GPI Summary'!AL5/AM$34*1000000000</f>
        <v>31063.233910177853</v>
      </c>
      <c r="AN7" s="371">
        <f>'GPI Summary'!AM5/AN$34*1000000000</f>
        <v>30643.500293195615</v>
      </c>
      <c r="AO7" s="371">
        <f>'GPI Summary'!AN5/AO$34*1000000000</f>
        <v>34959.667589483455</v>
      </c>
      <c r="AP7" s="371">
        <f>'GPI Summary'!AO5/AP$34*1000000000</f>
        <v>34374.983325418463</v>
      </c>
      <c r="AQ7" s="371">
        <f>'GPI Summary'!AP5/AQ$34*1000000000</f>
        <v>36448.051960412922</v>
      </c>
      <c r="AR7" s="371">
        <f>'GPI Summary'!AQ5/AR$34*1000000000</f>
        <v>30653.184825953464</v>
      </c>
      <c r="AS7" s="371">
        <f>'GPI Summary'!AR5/AS$34*1000000000</f>
        <v>33684.113390958883</v>
      </c>
      <c r="AT7" s="371">
        <f>'GPI Summary'!AS5/AT$34*1000000000</f>
        <v>30911.028757675842</v>
      </c>
      <c r="AU7" s="371">
        <f>'GPI Summary'!AT5/AU$34*1000000000</f>
        <v>30635.096792739074</v>
      </c>
      <c r="AV7" s="371">
        <f>'GPI Summary'!AU5/AV$34*1000000000</f>
        <v>29880.466054825505</v>
      </c>
      <c r="AW7" s="371">
        <f>'GPI Summary'!AV5/AW$34*1000000000</f>
        <v>37249.119043971194</v>
      </c>
      <c r="AX7" s="371">
        <f>'GPI Summary'!AW5/AX$34*1000000000</f>
        <v>36133.899874438335</v>
      </c>
      <c r="AY7" s="371">
        <f>'GPI Summary'!AX5/AY$34*1000000000</f>
        <v>38230.073658263696</v>
      </c>
      <c r="AZ7" s="371">
        <f>'GPI Summary'!AY5/AZ$34*1000000000</f>
        <v>30775.111218453963</v>
      </c>
      <c r="BA7" s="371">
        <f>'GPI Summary'!AZ5/BA$34*1000000000</f>
        <v>32541.174949994249</v>
      </c>
      <c r="BB7" s="371">
        <f>'GPI Summary'!BA5/BB$34*1000000000</f>
        <v>34281.826578021559</v>
      </c>
      <c r="BC7" s="385"/>
      <c r="BD7" s="385"/>
    </row>
    <row r="8" spans="1:56" x14ac:dyDescent="0.2">
      <c r="A8" s="7">
        <v>3</v>
      </c>
      <c r="B8" s="7" t="s">
        <v>1018</v>
      </c>
      <c r="C8" s="385" t="s">
        <v>1017</v>
      </c>
      <c r="D8" s="371">
        <f>'GPI Summary'!C6/D$34*1000000000</f>
        <v>7884.8981175443487</v>
      </c>
      <c r="E8" s="371">
        <f>'GPI Summary'!D6/E$34*1000000000</f>
        <v>6716.4755163155232</v>
      </c>
      <c r="F8" s="371">
        <f>'GPI Summary'!E6/F$34*1000000000</f>
        <v>4192.3673042142091</v>
      </c>
      <c r="G8" s="371">
        <f>'GPI Summary'!F6/G$34*1000000000</f>
        <v>7374.771715794026</v>
      </c>
      <c r="H8" s="371">
        <f>'GPI Summary'!G6/H$34*1000000000</f>
        <v>6243.0074232966235</v>
      </c>
      <c r="I8" s="371">
        <f>'GPI Summary'!H6/I$34*1000000000</f>
        <v>9312.4779269812225</v>
      </c>
      <c r="J8" s="371">
        <f>'GPI Summary'!I6/J$34*1000000000</f>
        <v>7416.8714490313432</v>
      </c>
      <c r="K8" s="371">
        <f>'GPI Summary'!J6/K$34*1000000000</f>
        <v>10735.625229523655</v>
      </c>
      <c r="L8" s="371">
        <f>'GPI Summary'!K6/L$34*1000000000</f>
        <v>6696.5488049189526</v>
      </c>
      <c r="M8" s="371">
        <f>'GPI Summary'!L6/M$34*1000000000</f>
        <v>9086.3103116633411</v>
      </c>
      <c r="N8" s="371">
        <f>'GPI Summary'!M6/N$34*1000000000</f>
        <v>7556.0269025343232</v>
      </c>
      <c r="O8" s="371">
        <f>'GPI Summary'!N6/O$34*1000000000</f>
        <v>5901.2073404862595</v>
      </c>
      <c r="P8" s="371">
        <f>'GPI Summary'!O6/P$34*1000000000</f>
        <v>5109.6367098984992</v>
      </c>
      <c r="Q8" s="371">
        <f>'GPI Summary'!P6/Q$34*1000000000</f>
        <v>8132.0487800852015</v>
      </c>
      <c r="R8" s="371">
        <f>'GPI Summary'!Q6/R$34*1000000000</f>
        <v>5890.4832971478909</v>
      </c>
      <c r="S8" s="371">
        <f>'GPI Summary'!R6/S$34*1000000000</f>
        <v>5243.5991136586263</v>
      </c>
      <c r="T8" s="371">
        <f>'GPI Summary'!S6/T$34*1000000000</f>
        <v>5763.3283597991858</v>
      </c>
      <c r="U8" s="371">
        <f>'GPI Summary'!T6/U$34*1000000000</f>
        <v>6812.3768659439447</v>
      </c>
      <c r="V8" s="371">
        <f>'GPI Summary'!U6/V$34*1000000000</f>
        <v>8178.7388419803792</v>
      </c>
      <c r="W8" s="371">
        <f>'GPI Summary'!V6/W$34*1000000000</f>
        <v>7227.6815593735164</v>
      </c>
      <c r="X8" s="371">
        <f>'GPI Summary'!W6/X$34*1000000000</f>
        <v>7422.1268077775776</v>
      </c>
      <c r="Y8" s="371">
        <f>'GPI Summary'!X6/Y$34*1000000000</f>
        <v>10898.634055699291</v>
      </c>
      <c r="Z8" s="371">
        <f>'GPI Summary'!Y6/Z$34*1000000000</f>
        <v>6780.9063500676139</v>
      </c>
      <c r="AA8" s="371">
        <f>'GPI Summary'!Z6/AA$34*1000000000</f>
        <v>6736.6692363517877</v>
      </c>
      <c r="AB8" s="371">
        <f>'GPI Summary'!AA6/AB$34*1000000000</f>
        <v>6666.9668715854577</v>
      </c>
      <c r="AC8" s="371">
        <f>'GPI Summary'!AB6/AC$34*1000000000</f>
        <v>6993.0195041063462</v>
      </c>
      <c r="AD8" s="371">
        <f>'GPI Summary'!AC6/AD$34*1000000000</f>
        <v>6048.5523205988929</v>
      </c>
      <c r="AE8" s="371">
        <f>'GPI Summary'!AD6/AE$34*1000000000</f>
        <v>6167.4146220769971</v>
      </c>
      <c r="AF8" s="371">
        <f>'GPI Summary'!AE6/AF$34*1000000000</f>
        <v>6945.793566377346</v>
      </c>
      <c r="AG8" s="371">
        <f>'GPI Summary'!AF6/AG$34*1000000000</f>
        <v>6508.3896748763154</v>
      </c>
      <c r="AH8" s="371">
        <f>'GPI Summary'!AG6/AH$34*1000000000</f>
        <v>9341.935054342006</v>
      </c>
      <c r="AI8" s="371">
        <f>'GPI Summary'!AH6/AI$34*1000000000</f>
        <v>7899.6119164671545</v>
      </c>
      <c r="AJ8" s="371">
        <f>'GPI Summary'!AI6/AJ$34*1000000000</f>
        <v>11008.081020815514</v>
      </c>
      <c r="AK8" s="371">
        <f>'GPI Summary'!AJ6/AK$34*1000000000</f>
        <v>7191.602242556879</v>
      </c>
      <c r="AL8" s="371">
        <f>'GPI Summary'!AK6/AL$34*1000000000</f>
        <v>6999.0082356523235</v>
      </c>
      <c r="AM8" s="371">
        <f>'GPI Summary'!AL6/AM$34*1000000000</f>
        <v>6653.5093965204605</v>
      </c>
      <c r="AN8" s="371">
        <f>'GPI Summary'!AM6/AN$34*1000000000</f>
        <v>6662.7857780349441</v>
      </c>
      <c r="AO8" s="371">
        <f>'GPI Summary'!AN6/AO$34*1000000000</f>
        <v>7440.1734773955222</v>
      </c>
      <c r="AP8" s="371">
        <f>'GPI Summary'!AO6/AP$34*1000000000</f>
        <v>7462.4502946744506</v>
      </c>
      <c r="AQ8" s="371">
        <f>'GPI Summary'!AP6/AQ$34*1000000000</f>
        <v>8297.1175194435928</v>
      </c>
      <c r="AR8" s="371">
        <f>'GPI Summary'!AQ6/AR$34*1000000000</f>
        <v>6845.5262154345319</v>
      </c>
      <c r="AS8" s="371">
        <f>'GPI Summary'!AR6/AS$34*1000000000</f>
        <v>5562.0853286643496</v>
      </c>
      <c r="AT8" s="371">
        <f>'GPI Summary'!AS6/AT$34*1000000000</f>
        <v>7448.2840530480498</v>
      </c>
      <c r="AU8" s="371">
        <f>'GPI Summary'!AT6/AU$34*1000000000</f>
        <v>7454.9040822406369</v>
      </c>
      <c r="AV8" s="371">
        <f>'GPI Summary'!AU6/AV$34*1000000000</f>
        <v>4493.6732899584576</v>
      </c>
      <c r="AW8" s="371">
        <f>'GPI Summary'!AV6/AW$34*1000000000</f>
        <v>6035.2565210519751</v>
      </c>
      <c r="AX8" s="371">
        <f>'GPI Summary'!AW6/AX$34*1000000000</f>
        <v>7972.5487201373035</v>
      </c>
      <c r="AY8" s="371">
        <f>'GPI Summary'!AX6/AY$34*1000000000</f>
        <v>7209.4924251030025</v>
      </c>
      <c r="AZ8" s="371">
        <f>'GPI Summary'!AY6/AZ$34*1000000000</f>
        <v>7242.3530107397501</v>
      </c>
      <c r="BA8" s="371">
        <f>'GPI Summary'!AZ6/BA$34*1000000000</f>
        <v>5659.3347739120436</v>
      </c>
      <c r="BB8" s="371">
        <f>'GPI Summary'!BA6/BB$34*1000000000</f>
        <v>3956.5646454908519</v>
      </c>
    </row>
    <row r="9" spans="1:56" x14ac:dyDescent="0.2">
      <c r="A9" s="7">
        <v>4</v>
      </c>
      <c r="B9" s="7" t="s">
        <v>1019</v>
      </c>
      <c r="C9" s="385" t="s">
        <v>1017</v>
      </c>
      <c r="D9" s="371">
        <f>'GPI Summary'!C7/D$34*1000000000</f>
        <v>6238.3959319355345</v>
      </c>
      <c r="E9" s="371">
        <f>'GPI Summary'!D7/E$34*1000000000</f>
        <v>5263.0298349173991</v>
      </c>
      <c r="F9" s="371">
        <f>'GPI Summary'!E7/F$34*1000000000</f>
        <v>6465.2341021947777</v>
      </c>
      <c r="G9" s="371">
        <f>'GPI Summary'!F7/G$34*1000000000</f>
        <v>5281.4941675273585</v>
      </c>
      <c r="H9" s="371">
        <f>'GPI Summary'!G7/H$34*1000000000</f>
        <v>4937.681068091807</v>
      </c>
      <c r="I9" s="371">
        <f>'GPI Summary'!H7/I$34*1000000000</f>
        <v>6653.3270787455203</v>
      </c>
      <c r="J9" s="371">
        <f>'GPI Summary'!I7/J$34*1000000000</f>
        <v>6357.9519133467684</v>
      </c>
      <c r="K9" s="371">
        <f>'GPI Summary'!J7/K$34*1000000000</f>
        <v>8812.201855795076</v>
      </c>
      <c r="L9" s="371">
        <f>'GPI Summary'!K7/L$34*1000000000</f>
        <v>6516.8293924541777</v>
      </c>
      <c r="M9" s="371">
        <f>'GPI Summary'!L7/M$34*1000000000</f>
        <v>6103.7502048940596</v>
      </c>
      <c r="N9" s="371">
        <f>'GPI Summary'!M7/N$34*1000000000</f>
        <v>5487.6226028246938</v>
      </c>
      <c r="O9" s="371">
        <f>'GPI Summary'!N7/O$34*1000000000</f>
        <v>6147.3683556795277</v>
      </c>
      <c r="P9" s="371">
        <f>'GPI Summary'!O7/P$34*1000000000</f>
        <v>4929.7562572060078</v>
      </c>
      <c r="Q9" s="371">
        <f>'GPI Summary'!P7/Q$34*1000000000</f>
        <v>6732.7489161392496</v>
      </c>
      <c r="R9" s="371">
        <f>'GPI Summary'!Q7/R$34*1000000000</f>
        <v>5487.956959020089</v>
      </c>
      <c r="S9" s="371">
        <f>'GPI Summary'!R7/S$34*1000000000</f>
        <v>5924.4559865164847</v>
      </c>
      <c r="T9" s="371">
        <f>'GPI Summary'!S7/T$34*1000000000</f>
        <v>5972.7633716855762</v>
      </c>
      <c r="U9" s="371">
        <f>'GPI Summary'!T7/U$34*1000000000</f>
        <v>5138.8390877550319</v>
      </c>
      <c r="V9" s="371">
        <f>'GPI Summary'!U7/V$34*1000000000</f>
        <v>5546.4834093680765</v>
      </c>
      <c r="W9" s="371">
        <f>'GPI Summary'!V7/W$34*1000000000</f>
        <v>5934.2351024631844</v>
      </c>
      <c r="X9" s="371">
        <f>'GPI Summary'!W7/X$34*1000000000</f>
        <v>7711.6198093181911</v>
      </c>
      <c r="Y9" s="371">
        <f>'GPI Summary'!X7/Y$34*1000000000</f>
        <v>8041.818719965021</v>
      </c>
      <c r="Z9" s="371">
        <f>'GPI Summary'!Y7/Z$34*1000000000</f>
        <v>5888.0140692546029</v>
      </c>
      <c r="AA9" s="371">
        <f>'GPI Summary'!Z7/AA$34*1000000000</f>
        <v>6613.3392337066061</v>
      </c>
      <c r="AB9" s="371">
        <f>'GPI Summary'!AA7/AB$34*1000000000</f>
        <v>4786.405951522047</v>
      </c>
      <c r="AC9" s="371">
        <f>'GPI Summary'!AB7/AC$34*1000000000</f>
        <v>5756.6729668504349</v>
      </c>
      <c r="AD9" s="371">
        <f>'GPI Summary'!AC7/AD$34*1000000000</f>
        <v>5148.5493907868677</v>
      </c>
      <c r="AE9" s="371">
        <f>'GPI Summary'!AD7/AE$34*1000000000</f>
        <v>6112.5052456551775</v>
      </c>
      <c r="AF9" s="371">
        <f>'GPI Summary'!AE7/AF$34*1000000000</f>
        <v>5990.5042470770759</v>
      </c>
      <c r="AG9" s="371">
        <f>'GPI Summary'!AF7/AG$34*1000000000</f>
        <v>7135.9954428702349</v>
      </c>
      <c r="AH9" s="371">
        <f>'GPI Summary'!AG7/AH$34*1000000000</f>
        <v>8133.2749469108176</v>
      </c>
      <c r="AI9" s="371">
        <f>'GPI Summary'!AH7/AI$34*1000000000</f>
        <v>4943.3136832051923</v>
      </c>
      <c r="AJ9" s="371">
        <f>'GPI Summary'!AI7/AJ$34*1000000000</f>
        <v>7618.0580153568017</v>
      </c>
      <c r="AK9" s="371">
        <f>'GPI Summary'!AJ7/AK$34*1000000000</f>
        <v>5399.1377133202996</v>
      </c>
      <c r="AL9" s="371">
        <f>'GPI Summary'!AK7/AL$34*1000000000</f>
        <v>5761.9948975566249</v>
      </c>
      <c r="AM9" s="371">
        <f>'GPI Summary'!AL7/AM$34*1000000000</f>
        <v>5851.312142052032</v>
      </c>
      <c r="AN9" s="371">
        <f>'GPI Summary'!AM7/AN$34*1000000000</f>
        <v>5470.865212400201</v>
      </c>
      <c r="AO9" s="371">
        <f>'GPI Summary'!AN7/AO$34*1000000000</f>
        <v>5565.6432111571348</v>
      </c>
      <c r="AP9" s="371">
        <f>'GPI Summary'!AO7/AP$34*1000000000</f>
        <v>6515.5198506483048</v>
      </c>
      <c r="AQ9" s="371">
        <f>'GPI Summary'!AP7/AQ$34*1000000000</f>
        <v>6843.3718599430913</v>
      </c>
      <c r="AR9" s="371">
        <f>'GPI Summary'!AQ7/AR$34*1000000000</f>
        <v>5011.6295006617538</v>
      </c>
      <c r="AS9" s="371">
        <f>'GPI Summary'!AR7/AS$34*1000000000</f>
        <v>5896.2360179923335</v>
      </c>
      <c r="AT9" s="371">
        <f>'GPI Summary'!AS7/AT$34*1000000000</f>
        <v>5479.0874939202922</v>
      </c>
      <c r="AU9" s="371">
        <f>'GPI Summary'!AT7/AU$34*1000000000</f>
        <v>5592.2385520821535</v>
      </c>
      <c r="AV9" s="371">
        <f>'GPI Summary'!AU7/AV$34*1000000000</f>
        <v>4803.4305727902884</v>
      </c>
      <c r="AW9" s="371">
        <f>'GPI Summary'!AV7/AW$34*1000000000</f>
        <v>6368.369327085803</v>
      </c>
      <c r="AX9" s="371">
        <f>'GPI Summary'!AW7/AX$34*1000000000</f>
        <v>6860.1375653950281</v>
      </c>
      <c r="AY9" s="371">
        <f>'GPI Summary'!AX7/AY$34*1000000000</f>
        <v>6431.8001243892604</v>
      </c>
      <c r="AZ9" s="371">
        <f>'GPI Summary'!AY7/AZ$34*1000000000</f>
        <v>4870.4214990029959</v>
      </c>
      <c r="BA9" s="371">
        <f>'GPI Summary'!AZ7/BA$34*1000000000</f>
        <v>6085.0474878083114</v>
      </c>
      <c r="BB9" s="371">
        <f>'GPI Summary'!BA7/BB$34*1000000000</f>
        <v>6687.602472079313</v>
      </c>
    </row>
    <row r="10" spans="1:56" x14ac:dyDescent="0.2">
      <c r="A10" s="7">
        <v>5</v>
      </c>
      <c r="B10" s="7" t="s">
        <v>106</v>
      </c>
      <c r="C10" s="385" t="s">
        <v>1017</v>
      </c>
      <c r="D10" s="371">
        <f>'GPI Summary'!C8/D$34*1000000000</f>
        <v>3617.5508092958971</v>
      </c>
      <c r="E10" s="371">
        <f>'GPI Summary'!D8/E$34*1000000000</f>
        <v>2991.8158728412432</v>
      </c>
      <c r="F10" s="371">
        <f>'GPI Summary'!E8/F$34*1000000000</f>
        <v>4121.1616277283101</v>
      </c>
      <c r="G10" s="371">
        <f>'GPI Summary'!F8/G$34*1000000000</f>
        <v>3036.0916074758034</v>
      </c>
      <c r="H10" s="371">
        <f>'GPI Summary'!G8/H$34*1000000000</f>
        <v>2914.9801628699793</v>
      </c>
      <c r="I10" s="371">
        <f>'GPI Summary'!H8/I$34*1000000000</f>
        <v>3825.8934026996471</v>
      </c>
      <c r="J10" s="371">
        <f>'GPI Summary'!I8/J$34*1000000000</f>
        <v>3784.1296372533989</v>
      </c>
      <c r="K10" s="371">
        <f>'GPI Summary'!J8/K$34*1000000000</f>
        <v>4947.2610974636227</v>
      </c>
      <c r="L10" s="371">
        <f>'GPI Summary'!K8/L$34*1000000000</f>
        <v>3666.438331113196</v>
      </c>
      <c r="M10" s="371">
        <f>'GPI Summary'!L8/M$34*1000000000</f>
        <v>3417.2773689183787</v>
      </c>
      <c r="N10" s="371">
        <f>'GPI Summary'!M8/N$34*1000000000</f>
        <v>3114.8968952302744</v>
      </c>
      <c r="O10" s="371">
        <f>'GPI Summary'!N8/O$34*1000000000</f>
        <v>3735.0883506864993</v>
      </c>
      <c r="P10" s="371">
        <f>'GPI Summary'!O8/P$34*1000000000</f>
        <v>2863.9439791191103</v>
      </c>
      <c r="Q10" s="371">
        <f>'GPI Summary'!P8/Q$34*1000000000</f>
        <v>3777.9265320349577</v>
      </c>
      <c r="R10" s="371">
        <f>'GPI Summary'!Q8/R$34*1000000000</f>
        <v>3112.8445829772345</v>
      </c>
      <c r="S10" s="371">
        <f>'GPI Summary'!R8/S$34*1000000000</f>
        <v>3637.7236848739976</v>
      </c>
      <c r="T10" s="371">
        <f>'GPI Summary'!S8/T$34*1000000000</f>
        <v>3604.2696377305629</v>
      </c>
      <c r="U10" s="371">
        <f>'GPI Summary'!T8/U$34*1000000000</f>
        <v>2958.9126540932266</v>
      </c>
      <c r="V10" s="371">
        <f>'GPI Summary'!U8/V$34*1000000000</f>
        <v>3308.2259993744078</v>
      </c>
      <c r="W10" s="371">
        <f>'GPI Summary'!V8/W$34*1000000000</f>
        <v>3330.2295627705462</v>
      </c>
      <c r="X10" s="371">
        <f>'GPI Summary'!W8/X$34*1000000000</f>
        <v>4488.4331563127362</v>
      </c>
      <c r="Y10" s="371">
        <f>'GPI Summary'!X8/Y$34*1000000000</f>
        <v>4644.027949053565</v>
      </c>
      <c r="Z10" s="371">
        <f>'GPI Summary'!Y8/Z$34*1000000000</f>
        <v>3171.9315222208074</v>
      </c>
      <c r="AA10" s="371">
        <f>'GPI Summary'!Z8/AA$34*1000000000</f>
        <v>3866.0622351966085</v>
      </c>
      <c r="AB10" s="371">
        <f>'GPI Summary'!AA8/AB$34*1000000000</f>
        <v>2757.5225649370645</v>
      </c>
      <c r="AC10" s="371">
        <f>'GPI Summary'!AB8/AC$34*1000000000</f>
        <v>3253.8646471360876</v>
      </c>
      <c r="AD10" s="371">
        <f>'GPI Summary'!AC8/AD$34*1000000000</f>
        <v>3144.9174319410126</v>
      </c>
      <c r="AE10" s="371">
        <f>'GPI Summary'!AD8/AE$34*1000000000</f>
        <v>3739.1385448227065</v>
      </c>
      <c r="AF10" s="371">
        <f>'GPI Summary'!AE8/AF$34*1000000000</f>
        <v>3203.1118287561781</v>
      </c>
      <c r="AG10" s="371">
        <f>'GPI Summary'!AF8/AG$34*1000000000</f>
        <v>4072.2088506994987</v>
      </c>
      <c r="AH10" s="371">
        <f>'GPI Summary'!AG8/AH$34*1000000000</f>
        <v>4568.2631999255718</v>
      </c>
      <c r="AI10" s="371">
        <f>'GPI Summary'!AH8/AI$34*1000000000</f>
        <v>2979.2426354709269</v>
      </c>
      <c r="AJ10" s="371">
        <f>'GPI Summary'!AI8/AJ$34*1000000000</f>
        <v>4446.6850297592309</v>
      </c>
      <c r="AK10" s="371">
        <f>'GPI Summary'!AJ8/AK$34*1000000000</f>
        <v>3128.0892389828236</v>
      </c>
      <c r="AL10" s="371">
        <f>'GPI Summary'!AK8/AL$34*1000000000</f>
        <v>4044.4581333881247</v>
      </c>
      <c r="AM10" s="371">
        <f>'GPI Summary'!AL8/AM$34*1000000000</f>
        <v>3311.1247966514393</v>
      </c>
      <c r="AN10" s="371">
        <f>'GPI Summary'!AM8/AN$34*1000000000</f>
        <v>3337.0841669062606</v>
      </c>
      <c r="AO10" s="371">
        <f>'GPI Summary'!AN8/AO$34*1000000000</f>
        <v>3232.9392701870752</v>
      </c>
      <c r="AP10" s="371">
        <f>'GPI Summary'!AO8/AP$34*1000000000</f>
        <v>3752.7632509982163</v>
      </c>
      <c r="AQ10" s="371">
        <f>'GPI Summary'!AP8/AQ$34*1000000000</f>
        <v>3822.0439234233709</v>
      </c>
      <c r="AR10" s="371">
        <f>'GPI Summary'!AQ8/AR$34*1000000000</f>
        <v>2927.9111773707546</v>
      </c>
      <c r="AS10" s="371">
        <f>'GPI Summary'!AR8/AS$34*1000000000</f>
        <v>3841.0321469688547</v>
      </c>
      <c r="AT10" s="371">
        <f>'GPI Summary'!AS8/AT$34*1000000000</f>
        <v>3180.2924306822752</v>
      </c>
      <c r="AU10" s="371">
        <f>'GPI Summary'!AT8/AU$34*1000000000</f>
        <v>3520.7036025818816</v>
      </c>
      <c r="AV10" s="371">
        <f>'GPI Summary'!AU8/AV$34*1000000000</f>
        <v>2927.0987465409103</v>
      </c>
      <c r="AW10" s="371">
        <f>'GPI Summary'!AV8/AW$34*1000000000</f>
        <v>3675.5145858418205</v>
      </c>
      <c r="AX10" s="371">
        <f>'GPI Summary'!AW8/AX$34*1000000000</f>
        <v>4036.6085149681721</v>
      </c>
      <c r="AY10" s="371">
        <f>'GPI Summary'!AX8/AY$34*1000000000</f>
        <v>3804.7712343267599</v>
      </c>
      <c r="AZ10" s="371">
        <f>'GPI Summary'!AY8/AZ$34*1000000000</f>
        <v>2897.0525074064753</v>
      </c>
      <c r="BA10" s="371">
        <f>'GPI Summary'!AZ8/BA$34*1000000000</f>
        <v>3481.7106670185649</v>
      </c>
      <c r="BB10" s="371">
        <f>'GPI Summary'!BA8/BB$34*1000000000</f>
        <v>4215.2112439367183</v>
      </c>
    </row>
    <row r="11" spans="1:56" x14ac:dyDescent="0.2">
      <c r="A11" s="7">
        <v>6</v>
      </c>
      <c r="B11" s="7" t="s">
        <v>107</v>
      </c>
      <c r="C11" s="385" t="s">
        <v>1017</v>
      </c>
      <c r="D11" s="371">
        <f>'GPI Summary'!C9/D$34*1000000000</f>
        <v>1392.814784054068</v>
      </c>
      <c r="E11" s="371">
        <f>'GPI Summary'!D9/E$34*1000000000</f>
        <v>1130.163017547213</v>
      </c>
      <c r="F11" s="371">
        <f>'GPI Summary'!E9/F$34*1000000000</f>
        <v>1371.5039728924971</v>
      </c>
      <c r="G11" s="371">
        <f>'GPI Summary'!F9/G$34*1000000000</f>
        <v>1447.4022833648942</v>
      </c>
      <c r="H11" s="371">
        <f>'GPI Summary'!G9/H$34*1000000000</f>
        <v>921.88758344117878</v>
      </c>
      <c r="I11" s="371">
        <f>'GPI Summary'!H9/I$34*1000000000</f>
        <v>2091.1192385136769</v>
      </c>
      <c r="J11" s="371">
        <f>'GPI Summary'!I9/J$34*1000000000</f>
        <v>1492.9826772349293</v>
      </c>
      <c r="K11" s="371">
        <f>'GPI Summary'!J9/K$34*1000000000</f>
        <v>1689.831433379296</v>
      </c>
      <c r="L11" s="371">
        <f>'GPI Summary'!K9/L$34*1000000000</f>
        <v>1179.169989492422</v>
      </c>
      <c r="M11" s="371">
        <f>'GPI Summary'!L9/M$34*1000000000</f>
        <v>1360.7507047343445</v>
      </c>
      <c r="N11" s="371">
        <f>'GPI Summary'!M9/N$34*1000000000</f>
        <v>1376.7546700952162</v>
      </c>
      <c r="O11" s="371">
        <f>'GPI Summary'!N9/O$34*1000000000</f>
        <v>1253.1391740610218</v>
      </c>
      <c r="P11" s="371">
        <f>'GPI Summary'!O9/P$34*1000000000</f>
        <v>1171.6638398599384</v>
      </c>
      <c r="Q11" s="371">
        <f>'GPI Summary'!P9/Q$34*1000000000</f>
        <v>1580.5904618098068</v>
      </c>
      <c r="R11" s="371">
        <f>'GPI Summary'!Q9/R$34*1000000000</f>
        <v>1184.4691947374235</v>
      </c>
      <c r="S11" s="371">
        <f>'GPI Summary'!R9/S$34*1000000000</f>
        <v>931.64913862966205</v>
      </c>
      <c r="T11" s="371">
        <f>'GPI Summary'!S9/T$34*1000000000</f>
        <v>986.78470012967568</v>
      </c>
      <c r="U11" s="371">
        <f>'GPI Summary'!T9/U$34*1000000000</f>
        <v>1119.2906910310828</v>
      </c>
      <c r="V11" s="371">
        <f>'GPI Summary'!U9/V$34*1000000000</f>
        <v>916.8096235210968</v>
      </c>
      <c r="W11" s="371">
        <f>'GPI Summary'!V9/W$34*1000000000</f>
        <v>1258.3651720581865</v>
      </c>
      <c r="X11" s="371">
        <f>'GPI Summary'!W9/X$34*1000000000</f>
        <v>1353.6448586233084</v>
      </c>
      <c r="Y11" s="371">
        <f>'GPI Summary'!X9/Y$34*1000000000</f>
        <v>1604.0126558924885</v>
      </c>
      <c r="Z11" s="371">
        <f>'GPI Summary'!Y9/Z$34*1000000000</f>
        <v>1520.5145200134625</v>
      </c>
      <c r="AA11" s="371">
        <f>'GPI Summary'!Z9/AA$34*1000000000</f>
        <v>1280.6086884910858</v>
      </c>
      <c r="AB11" s="371">
        <f>'GPI Summary'!AA9/AB$34*1000000000</f>
        <v>994.71188199613175</v>
      </c>
      <c r="AC11" s="371">
        <f>'GPI Summary'!AB9/AC$34*1000000000</f>
        <v>1143.6121071383959</v>
      </c>
      <c r="AD11" s="371">
        <f>'GPI Summary'!AC9/AD$34*1000000000</f>
        <v>1102.3847523860211</v>
      </c>
      <c r="AE11" s="371">
        <f>'GPI Summary'!AD9/AE$34*1000000000</f>
        <v>741.9672221123991</v>
      </c>
      <c r="AF11" s="371">
        <f>'GPI Summary'!AE9/AF$34*1000000000</f>
        <v>1900.0447243999138</v>
      </c>
      <c r="AG11" s="371">
        <f>'GPI Summary'!AF9/AG$34*1000000000</f>
        <v>1118.5318275636089</v>
      </c>
      <c r="AH11" s="371">
        <f>'GPI Summary'!AG9/AH$34*1000000000</f>
        <v>1653.7985942546356</v>
      </c>
      <c r="AI11" s="371">
        <f>'GPI Summary'!AH9/AI$34*1000000000</f>
        <v>1041.0902324070194</v>
      </c>
      <c r="AJ11" s="371">
        <f>'GPI Summary'!AI9/AJ$34*1000000000</f>
        <v>1443.3343863474072</v>
      </c>
      <c r="AK11" s="371">
        <f>'GPI Summary'!AJ9/AK$34*1000000000</f>
        <v>1392.4357680075905</v>
      </c>
      <c r="AL11" s="371">
        <f>'GPI Summary'!AK9/AL$34*1000000000</f>
        <v>562.99771241376084</v>
      </c>
      <c r="AM11" s="371">
        <f>'GPI Summary'!AL9/AM$34*1000000000</f>
        <v>1197.8377411166089</v>
      </c>
      <c r="AN11" s="371">
        <f>'GPI Summary'!AM9/AN$34*1000000000</f>
        <v>749.58463550119291</v>
      </c>
      <c r="AO11" s="371">
        <f>'GPI Summary'!AN9/AO$34*1000000000</f>
        <v>1539.7979967369333</v>
      </c>
      <c r="AP11" s="371">
        <f>'GPI Summary'!AO9/AP$34*1000000000</f>
        <v>1201.1168188353467</v>
      </c>
      <c r="AQ11" s="371">
        <f>'GPI Summary'!AP9/AQ$34*1000000000</f>
        <v>1843.5519866060572</v>
      </c>
      <c r="AR11" s="371">
        <f>'GPI Summary'!AQ9/AR$34*1000000000</f>
        <v>1278.4473599545076</v>
      </c>
      <c r="AS11" s="371">
        <f>'GPI Summary'!AR9/AS$34*1000000000</f>
        <v>693.22294247397031</v>
      </c>
      <c r="AT11" s="371">
        <f>'GPI Summary'!AS9/AT$34*1000000000</f>
        <v>1154.5650739225289</v>
      </c>
      <c r="AU11" s="371">
        <f>'GPI Summary'!AT9/AU$34*1000000000</f>
        <v>1148.8639829273516</v>
      </c>
      <c r="AV11" s="371">
        <f>'GPI Summary'!AU9/AV$34*1000000000</f>
        <v>1022.986758833563</v>
      </c>
      <c r="AW11" s="371">
        <f>'GPI Summary'!AV9/AW$34*1000000000</f>
        <v>1116.1961062908288</v>
      </c>
      <c r="AX11" s="371">
        <f>'GPI Summary'!AW9/AX$34*1000000000</f>
        <v>1169.6766949218249</v>
      </c>
      <c r="AY11" s="371">
        <f>'GPI Summary'!AX9/AY$34*1000000000</f>
        <v>1779.51240439461</v>
      </c>
      <c r="AZ11" s="371">
        <f>'GPI Summary'!AY9/AZ$34*1000000000</f>
        <v>842.42724627031191</v>
      </c>
      <c r="BA11" s="371">
        <f>'GPI Summary'!AZ9/BA$34*1000000000</f>
        <v>1234.9118521064102</v>
      </c>
      <c r="BB11" s="371">
        <f>'GPI Summary'!BA9/BB$34*1000000000</f>
        <v>940.58481586472203</v>
      </c>
    </row>
    <row r="12" spans="1:56" x14ac:dyDescent="0.2">
      <c r="A12" s="7">
        <v>7</v>
      </c>
      <c r="B12" s="7" t="s">
        <v>108</v>
      </c>
      <c r="C12" s="385" t="s">
        <v>1017</v>
      </c>
      <c r="D12" s="371">
        <f>'GPI Summary'!C10/D$34*1000000000</f>
        <v>828.37893484335336</v>
      </c>
      <c r="E12" s="371">
        <f>'GPI Summary'!D10/E$34*1000000000</f>
        <v>828.37893484335336</v>
      </c>
      <c r="F12" s="371">
        <f>'GPI Summary'!E10/F$34*1000000000</f>
        <v>828.37893484335336</v>
      </c>
      <c r="G12" s="371">
        <f>'GPI Summary'!F10/G$34*1000000000</f>
        <v>828.37893484335325</v>
      </c>
      <c r="H12" s="371">
        <f>'GPI Summary'!G10/H$34*1000000000</f>
        <v>828.37893484335336</v>
      </c>
      <c r="I12" s="371">
        <f>'GPI Summary'!H10/I$34*1000000000</f>
        <v>828.37893484335336</v>
      </c>
      <c r="J12" s="371">
        <f>'GPI Summary'!I10/J$34*1000000000</f>
        <v>828.37893484335336</v>
      </c>
      <c r="K12" s="371">
        <f>'GPI Summary'!J10/K$34*1000000000</f>
        <v>828.37893484335348</v>
      </c>
      <c r="L12" s="371">
        <f>'GPI Summary'!K10/L$34*1000000000</f>
        <v>828.37893484335336</v>
      </c>
      <c r="M12" s="371">
        <f>'GPI Summary'!L10/M$34*1000000000</f>
        <v>828.37893484335325</v>
      </c>
      <c r="N12" s="371">
        <f>'GPI Summary'!M10/N$34*1000000000</f>
        <v>828.37893484335336</v>
      </c>
      <c r="O12" s="371">
        <f>'GPI Summary'!N10/O$34*1000000000</f>
        <v>828.37893484335325</v>
      </c>
      <c r="P12" s="371">
        <f>'GPI Summary'!O10/P$34*1000000000</f>
        <v>828.37893484335325</v>
      </c>
      <c r="Q12" s="371">
        <f>'GPI Summary'!P10/Q$34*1000000000</f>
        <v>828.37893484335336</v>
      </c>
      <c r="R12" s="371">
        <f>'GPI Summary'!Q10/R$34*1000000000</f>
        <v>828.37893484335336</v>
      </c>
      <c r="S12" s="371">
        <f>'GPI Summary'!R10/S$34*1000000000</f>
        <v>828.37893484335325</v>
      </c>
      <c r="T12" s="371">
        <f>'GPI Summary'!S10/T$34*1000000000</f>
        <v>828.37893484335336</v>
      </c>
      <c r="U12" s="371">
        <f>'GPI Summary'!T10/U$34*1000000000</f>
        <v>828.37893484335336</v>
      </c>
      <c r="V12" s="371">
        <f>'GPI Summary'!U10/V$34*1000000000</f>
        <v>828.37893484335336</v>
      </c>
      <c r="W12" s="371">
        <f>'GPI Summary'!V10/W$34*1000000000</f>
        <v>828.37893484335336</v>
      </c>
      <c r="X12" s="371">
        <f>'GPI Summary'!W10/X$34*1000000000</f>
        <v>828.37893484335325</v>
      </c>
      <c r="Y12" s="371">
        <f>'GPI Summary'!X10/Y$34*1000000000</f>
        <v>828.37893484335336</v>
      </c>
      <c r="Z12" s="371">
        <f>'GPI Summary'!Y10/Z$34*1000000000</f>
        <v>828.37893484335348</v>
      </c>
      <c r="AA12" s="371">
        <f>'GPI Summary'!Z10/AA$34*1000000000</f>
        <v>828.37893484335325</v>
      </c>
      <c r="AB12" s="371">
        <f>'GPI Summary'!AA10/AB$34*1000000000</f>
        <v>828.37893484335336</v>
      </c>
      <c r="AC12" s="371">
        <f>'GPI Summary'!AB10/AC$34*1000000000</f>
        <v>828.37893484335336</v>
      </c>
      <c r="AD12" s="371">
        <f>'GPI Summary'!AC10/AD$34*1000000000</f>
        <v>828.37893484335325</v>
      </c>
      <c r="AE12" s="371">
        <f>'GPI Summary'!AD10/AE$34*1000000000</f>
        <v>828.37893484335336</v>
      </c>
      <c r="AF12" s="371">
        <f>'GPI Summary'!AE10/AF$34*1000000000</f>
        <v>828.37893484335325</v>
      </c>
      <c r="AG12" s="371">
        <f>'GPI Summary'!AF10/AG$34*1000000000</f>
        <v>828.37893484335336</v>
      </c>
      <c r="AH12" s="371">
        <f>'GPI Summary'!AG10/AH$34*1000000000</f>
        <v>828.37893484335325</v>
      </c>
      <c r="AI12" s="371">
        <f>'GPI Summary'!AH10/AI$34*1000000000</f>
        <v>828.37893484335336</v>
      </c>
      <c r="AJ12" s="371">
        <f>'GPI Summary'!AI10/AJ$34*1000000000</f>
        <v>828.37893484335336</v>
      </c>
      <c r="AK12" s="371">
        <f>'GPI Summary'!AJ10/AK$34*1000000000</f>
        <v>828.37893484335336</v>
      </c>
      <c r="AL12" s="371">
        <f>'GPI Summary'!AK10/AL$34*1000000000</f>
        <v>828.37893484335336</v>
      </c>
      <c r="AM12" s="371">
        <f>'GPI Summary'!AL10/AM$34*1000000000</f>
        <v>828.37893484335336</v>
      </c>
      <c r="AN12" s="371">
        <f>'GPI Summary'!AM10/AN$34*1000000000</f>
        <v>828.37893484335325</v>
      </c>
      <c r="AO12" s="371">
        <f>'GPI Summary'!AN10/AO$34*1000000000</f>
        <v>828.37893484335336</v>
      </c>
      <c r="AP12" s="371">
        <f>'GPI Summary'!AO10/AP$34*1000000000</f>
        <v>828.37893484335336</v>
      </c>
      <c r="AQ12" s="371">
        <f>'GPI Summary'!AP10/AQ$34*1000000000</f>
        <v>828.37893484335325</v>
      </c>
      <c r="AR12" s="371">
        <f>'GPI Summary'!AQ10/AR$34*1000000000</f>
        <v>828.37893484335336</v>
      </c>
      <c r="AS12" s="371">
        <f>'GPI Summary'!AR10/AS$34*1000000000</f>
        <v>828.37893484335336</v>
      </c>
      <c r="AT12" s="371">
        <f>'GPI Summary'!AS10/AT$34*1000000000</f>
        <v>828.37893484335325</v>
      </c>
      <c r="AU12" s="371">
        <f>'GPI Summary'!AT10/AU$34*1000000000</f>
        <v>828.37893484335314</v>
      </c>
      <c r="AV12" s="371">
        <f>'GPI Summary'!AU10/AV$34*1000000000</f>
        <v>828.37893484335336</v>
      </c>
      <c r="AW12" s="371">
        <f>'GPI Summary'!AV10/AW$34*1000000000</f>
        <v>828.37893484335336</v>
      </c>
      <c r="AX12" s="371">
        <f>'GPI Summary'!AW10/AX$34*1000000000</f>
        <v>828.37893484335325</v>
      </c>
      <c r="AY12" s="371">
        <f>'GPI Summary'!AX10/AY$34*1000000000</f>
        <v>828.37893484335325</v>
      </c>
      <c r="AZ12" s="371">
        <f>'GPI Summary'!AY10/AZ$34*1000000000</f>
        <v>828.37893484335336</v>
      </c>
      <c r="BA12" s="371">
        <f>'GPI Summary'!AZ10/BA$34*1000000000</f>
        <v>828.37893484335336</v>
      </c>
      <c r="BB12" s="371">
        <f>'GPI Summary'!BA10/BB$34*1000000000</f>
        <v>828.37893484335336</v>
      </c>
    </row>
    <row r="13" spans="1:56" x14ac:dyDescent="0.2">
      <c r="A13" s="7">
        <v>8</v>
      </c>
      <c r="B13" s="7" t="s">
        <v>109</v>
      </c>
      <c r="C13" s="385" t="s">
        <v>1017</v>
      </c>
      <c r="D13" s="371">
        <f>'GPI Summary'!C11/D$34*1000000000</f>
        <v>143.12183516903099</v>
      </c>
      <c r="E13" s="371">
        <f>'GPI Summary'!D11/E$34*1000000000</f>
        <v>59.169837835157779</v>
      </c>
      <c r="F13" s="371">
        <f>'GPI Summary'!E11/F$34*1000000000</f>
        <v>129.451487722384</v>
      </c>
      <c r="G13" s="371">
        <f>'GPI Summary'!F11/G$34*1000000000</f>
        <v>75.081227105278671</v>
      </c>
      <c r="H13" s="371">
        <f>'GPI Summary'!G11/H$34*1000000000</f>
        <v>109.15236808339553</v>
      </c>
      <c r="I13" s="371">
        <f>'GPI Summary'!H11/I$34*1000000000</f>
        <v>208.43764295833293</v>
      </c>
      <c r="J13" s="371">
        <f>'GPI Summary'!I11/J$34*1000000000</f>
        <v>75.279264779693634</v>
      </c>
      <c r="K13" s="371">
        <f>'GPI Summary'!J11/K$34*1000000000</f>
        <v>68.593300860561811</v>
      </c>
      <c r="L13" s="371">
        <f>'GPI Summary'!K11/L$34*1000000000</f>
        <v>218.68044612261895</v>
      </c>
      <c r="M13" s="371">
        <f>'GPI Summary'!L11/M$34*1000000000</f>
        <v>189.65537351137814</v>
      </c>
      <c r="N13" s="371">
        <f>'GPI Summary'!M11/N$34*1000000000</f>
        <v>97.881878197022544</v>
      </c>
      <c r="O13" s="371">
        <f>'GPI Summary'!N11/O$34*1000000000</f>
        <v>222.46</v>
      </c>
      <c r="P13" s="371">
        <f>'GPI Summary'!O11/P$34*1000000000</f>
        <v>163.61382070592853</v>
      </c>
      <c r="Q13" s="371">
        <f>'GPI Summary'!P11/Q$34*1000000000</f>
        <v>171.2320080145341</v>
      </c>
      <c r="R13" s="371">
        <f>'GPI Summary'!Q11/R$34*1000000000</f>
        <v>183.14021169767221</v>
      </c>
      <c r="S13" s="371">
        <f>'GPI Summary'!R11/S$34*1000000000</f>
        <v>182.75340660317804</v>
      </c>
      <c r="T13" s="371">
        <f>'GPI Summary'!S11/T$34*1000000000</f>
        <v>206.48646854144525</v>
      </c>
      <c r="U13" s="371">
        <f>'GPI Summary'!T11/U$34*1000000000</f>
        <v>116.21049173574278</v>
      </c>
      <c r="V13" s="371">
        <f>'GPI Summary'!U11/V$34*1000000000</f>
        <v>185.81357198532783</v>
      </c>
      <c r="W13" s="371">
        <f>'GPI Summary'!V11/W$34*1000000000</f>
        <v>13.78039800683449</v>
      </c>
      <c r="X13" s="371">
        <f>'GPI Summary'!W11/X$34*1000000000</f>
        <v>149.7237456648744</v>
      </c>
      <c r="Y13" s="371">
        <f>'GPI Summary'!X11/Y$34*1000000000</f>
        <v>179.45106394974002</v>
      </c>
      <c r="Z13" s="371">
        <f>'GPI Summary'!Y11/Z$34*1000000000</f>
        <v>117.85681067891267</v>
      </c>
      <c r="AA13" s="371">
        <f>'GPI Summary'!Z11/AA$34*1000000000</f>
        <v>194.54137106483989</v>
      </c>
      <c r="AB13" s="371">
        <f>'GPI Summary'!AA11/AB$34*1000000000</f>
        <v>174.23743343540767</v>
      </c>
      <c r="AC13" s="371">
        <f>'GPI Summary'!AB11/AC$34*1000000000</f>
        <v>89.409247024927538</v>
      </c>
      <c r="AD13" s="371">
        <f>'GPI Summary'!AC11/AD$34*1000000000</f>
        <v>191.02702650290715</v>
      </c>
      <c r="AE13" s="371">
        <f>'GPI Summary'!AD11/AE$34*1000000000</f>
        <v>162.33602730327331</v>
      </c>
      <c r="AF13" s="371">
        <f>'GPI Summary'!AE11/AF$34*1000000000</f>
        <v>161.54087248675486</v>
      </c>
      <c r="AG13" s="371">
        <f>'GPI Summary'!AF11/AG$34*1000000000</f>
        <v>222.46</v>
      </c>
      <c r="AH13" s="371">
        <f>'GPI Summary'!AG11/AH$34*1000000000</f>
        <v>205.50095479054374</v>
      </c>
      <c r="AI13" s="371">
        <f>'GPI Summary'!AH11/AI$34*1000000000</f>
        <v>163.45432979536312</v>
      </c>
      <c r="AJ13" s="371">
        <f>'GPI Summary'!AI11/AJ$34*1000000000</f>
        <v>93.093837073316621</v>
      </c>
      <c r="AK13" s="371">
        <f>'GPI Summary'!AJ11/AK$34*1000000000</f>
        <v>110.99595693057641</v>
      </c>
      <c r="AL13" s="371">
        <f>'GPI Summary'!AK11/AL$34*1000000000</f>
        <v>86.433577072458732</v>
      </c>
      <c r="AM13" s="371">
        <f>'GPI Summary'!AL11/AM$34*1000000000</f>
        <v>218.62745879847097</v>
      </c>
      <c r="AN13" s="371">
        <f>'GPI Summary'!AM11/AN$34*1000000000</f>
        <v>197.3640265635222</v>
      </c>
      <c r="AO13" s="371">
        <f>'GPI Summary'!AN11/AO$34*1000000000</f>
        <v>182.62618551291416</v>
      </c>
      <c r="AP13" s="371">
        <f>'GPI Summary'!AO11/AP$34*1000000000</f>
        <v>40.794464287034224</v>
      </c>
      <c r="AQ13" s="371">
        <f>'GPI Summary'!AP11/AQ$34*1000000000</f>
        <v>106.2213100234044</v>
      </c>
      <c r="AR13" s="371">
        <f>'GPI Summary'!AQ11/AR$34*1000000000</f>
        <v>102.37116454817426</v>
      </c>
      <c r="AS13" s="371">
        <f>'GPI Summary'!AR11/AS$34*1000000000</f>
        <v>99.094625442016124</v>
      </c>
      <c r="AT13" s="371">
        <f>'GPI Summary'!AS11/AT$34*1000000000</f>
        <v>82.649580081062524</v>
      </c>
      <c r="AU13" s="371">
        <f>'GPI Summary'!AT11/AU$34*1000000000</f>
        <v>91.504100034656929</v>
      </c>
      <c r="AV13" s="371">
        <f>'GPI Summary'!AU11/AV$34*1000000000</f>
        <v>74.035310525352088</v>
      </c>
      <c r="AW13" s="371">
        <f>'GPI Summary'!AV11/AW$34*1000000000</f>
        <v>103.82391777244352</v>
      </c>
      <c r="AX13" s="371">
        <f>'GPI Summary'!AW11/AX$34*1000000000</f>
        <v>171.33489543050999</v>
      </c>
      <c r="AY13" s="371">
        <f>'GPI Summary'!AX11/AY$34*1000000000</f>
        <v>164.41515641961433</v>
      </c>
      <c r="AZ13" s="371">
        <f>'GPI Summary'!AY11/AZ$34*1000000000</f>
        <v>124.93407838888869</v>
      </c>
      <c r="BA13" s="371">
        <f>'GPI Summary'!AZ11/BA$34*1000000000</f>
        <v>147.23709772436357</v>
      </c>
      <c r="BB13" s="371">
        <f>'GPI Summary'!BA11/BB$34*1000000000</f>
        <v>46.116603606498927</v>
      </c>
      <c r="BC13" s="9"/>
      <c r="BD13" s="7"/>
    </row>
    <row r="14" spans="1:56" x14ac:dyDescent="0.2">
      <c r="A14" s="7">
        <v>9</v>
      </c>
      <c r="B14" s="7" t="s">
        <v>115</v>
      </c>
      <c r="C14" s="385" t="s">
        <v>1017</v>
      </c>
      <c r="D14" s="371">
        <f>'GPI Summary'!C12/D$34*1000000000</f>
        <v>47.524076592075296</v>
      </c>
      <c r="E14" s="371">
        <f>'GPI Summary'!D12/E$34*1000000000</f>
        <v>30.01633133555703</v>
      </c>
      <c r="F14" s="371">
        <f>'GPI Summary'!E12/F$34*1000000000</f>
        <v>0</v>
      </c>
      <c r="G14" s="371">
        <f>'GPI Summary'!F12/G$34*1000000000</f>
        <v>34.588868192570267</v>
      </c>
      <c r="H14" s="371">
        <f>'GPI Summary'!G12/H$34*1000000000</f>
        <v>33.275879290438155</v>
      </c>
      <c r="I14" s="371">
        <f>'GPI Summary'!H12/I$34*1000000000</f>
        <v>149.11069131448394</v>
      </c>
      <c r="J14" s="371">
        <f>'GPI Summary'!I12/J$34*1000000000</f>
        <v>56.550710138597196</v>
      </c>
      <c r="K14" s="371">
        <f>'GPI Summary'!J12/K$34*1000000000</f>
        <v>14.653672593492368</v>
      </c>
      <c r="L14" s="371">
        <f>'GPI Summary'!K12/L$34*1000000000</f>
        <v>14.963458271482464</v>
      </c>
      <c r="M14" s="371">
        <f>'GPI Summary'!L12/M$34*1000000000</f>
        <v>20.49538657964645</v>
      </c>
      <c r="N14" s="371">
        <f>'GPI Summary'!M12/N$34*1000000000</f>
        <v>54.048470209544057</v>
      </c>
      <c r="O14" s="371">
        <f>'GPI Summary'!N12/O$34*1000000000</f>
        <v>0</v>
      </c>
      <c r="P14" s="371">
        <f>'GPI Summary'!O12/P$34*1000000000</f>
        <v>0</v>
      </c>
      <c r="Q14" s="371">
        <f>'GPI Summary'!P12/Q$34*1000000000</f>
        <v>31.23430342739729</v>
      </c>
      <c r="R14" s="371">
        <f>'GPI Summary'!Q12/R$34*1000000000</f>
        <v>25.880402773667413</v>
      </c>
      <c r="S14" s="371">
        <f>'GPI Summary'!R12/S$34*1000000000</f>
        <v>0</v>
      </c>
      <c r="T14" s="371">
        <f>'GPI Summary'!S12/T$34*1000000000</f>
        <v>41.401208711018931</v>
      </c>
      <c r="U14" s="371">
        <f>'GPI Summary'!T12/U$34*1000000000</f>
        <v>34.613507282524942</v>
      </c>
      <c r="V14" s="371">
        <f>'GPI Summary'!U12/V$34*1000000000</f>
        <v>44.629795191115086</v>
      </c>
      <c r="W14" s="371">
        <f>'GPI Summary'!V12/W$34*1000000000</f>
        <v>4.2225154369487514</v>
      </c>
      <c r="X14" s="371">
        <f>'GPI Summary'!W12/X$34*1000000000</f>
        <v>30.71451089600647</v>
      </c>
      <c r="Y14" s="371">
        <f>'GPI Summary'!X12/Y$34*1000000000</f>
        <v>10.443326706214197</v>
      </c>
      <c r="Z14" s="371">
        <f>'GPI Summary'!Y12/Z$34*1000000000</f>
        <v>22.722178353227655</v>
      </c>
      <c r="AA14" s="371">
        <f>'GPI Summary'!Z12/AA$34*1000000000</f>
        <v>1.3958375643551804</v>
      </c>
      <c r="AB14" s="371">
        <f>'GPI Summary'!AA12/AB$34*1000000000</f>
        <v>12.620622636099203</v>
      </c>
      <c r="AC14" s="371">
        <f>'GPI Summary'!AB12/AC$34*1000000000</f>
        <v>53.329674701690664</v>
      </c>
      <c r="AD14" s="371">
        <f>'GPI Summary'!AC12/AD$34*1000000000</f>
        <v>0</v>
      </c>
      <c r="AE14" s="371">
        <f>'GPI Summary'!AD12/AE$34*1000000000</f>
        <v>0</v>
      </c>
      <c r="AF14" s="371">
        <f>'GPI Summary'!AE12/AF$34*1000000000</f>
        <v>31.181677326420949</v>
      </c>
      <c r="AG14" s="371">
        <f>'GPI Summary'!AF12/AG$34*1000000000</f>
        <v>2.2752890328583972</v>
      </c>
      <c r="AH14" s="371">
        <f>'GPI Summary'!AG12/AH$34*1000000000</f>
        <v>21.816588555015702</v>
      </c>
      <c r="AI14" s="371">
        <f>'GPI Summary'!AH12/AI$34*1000000000</f>
        <v>22.536116385059096</v>
      </c>
      <c r="AJ14" s="371">
        <f>'GPI Summary'!AI12/AJ$34*1000000000</f>
        <v>23.602815994037353</v>
      </c>
      <c r="AK14" s="371">
        <f>'GPI Summary'!AJ12/AK$34*1000000000</f>
        <v>29.27174952413047</v>
      </c>
      <c r="AL14" s="371">
        <f>'GPI Summary'!AK12/AL$34*1000000000</f>
        <v>0</v>
      </c>
      <c r="AM14" s="371">
        <f>'GPI Summary'!AL12/AM$34*1000000000</f>
        <v>34.516599898664239</v>
      </c>
      <c r="AN14" s="371">
        <f>'GPI Summary'!AM12/AN$34*1000000000</f>
        <v>83.471137726053001</v>
      </c>
      <c r="AO14" s="371">
        <f>'GPI Summary'!AN12/AO$34*1000000000</f>
        <v>1.4567735545498721</v>
      </c>
      <c r="AP14" s="371">
        <f>'GPI Summary'!AO12/AP$34*1000000000</f>
        <v>30.660879772204201</v>
      </c>
      <c r="AQ14" s="371">
        <f>'GPI Summary'!AP12/AQ$34*1000000000</f>
        <v>6.2451273633129603</v>
      </c>
      <c r="AR14" s="371">
        <f>'GPI Summary'!AQ12/AR$34*1000000000</f>
        <v>15.037444139982604</v>
      </c>
      <c r="AS14" s="371">
        <f>'GPI Summary'!AR12/AS$34*1000000000</f>
        <v>0</v>
      </c>
      <c r="AT14" s="371">
        <f>'GPI Summary'!AS12/AT$34*1000000000</f>
        <v>35.349694234945041</v>
      </c>
      <c r="AU14" s="371">
        <f>'GPI Summary'!AT12/AU$34*1000000000</f>
        <v>102.01373453708148</v>
      </c>
      <c r="AV14" s="371">
        <f>'GPI Summary'!AU12/AV$34*1000000000</f>
        <v>43.737179605077181</v>
      </c>
      <c r="AW14" s="371">
        <f>'GPI Summary'!AV12/AW$34*1000000000</f>
        <v>1.3173083556951182</v>
      </c>
      <c r="AX14" s="371">
        <f>'GPI Summary'!AW12/AX$34*1000000000</f>
        <v>21.51726914495967</v>
      </c>
      <c r="AY14" s="371">
        <f>'GPI Summary'!AX12/AY$34*1000000000</f>
        <v>0</v>
      </c>
      <c r="AZ14" s="371">
        <f>'GPI Summary'!AY12/AZ$34*1000000000</f>
        <v>9.0988218715100242</v>
      </c>
      <c r="BA14" s="371">
        <f>'GPI Summary'!AZ12/BA$34*1000000000</f>
        <v>13.766740515110046</v>
      </c>
      <c r="BB14" s="371">
        <f>'GPI Summary'!BA12/BB$34*1000000000</f>
        <v>63.4986261661142</v>
      </c>
    </row>
    <row r="15" spans="1:56" x14ac:dyDescent="0.2">
      <c r="A15" s="7">
        <v>10</v>
      </c>
      <c r="B15" s="7" t="s">
        <v>116</v>
      </c>
      <c r="C15" s="385" t="s">
        <v>1017</v>
      </c>
      <c r="D15" s="371">
        <f>'GPI Summary'!C13/D$34*1000000000</f>
        <v>101.49547525548074</v>
      </c>
      <c r="E15" s="371">
        <f>'GPI Summary'!D13/E$34*1000000000</f>
        <v>74.563157135188533</v>
      </c>
      <c r="F15" s="371">
        <f>'GPI Summary'!E13/F$34*1000000000</f>
        <v>82.222655184976134</v>
      </c>
      <c r="G15" s="371">
        <f>'GPI Summary'!F13/G$34*1000000000</f>
        <v>112.67045862699922</v>
      </c>
      <c r="H15" s="371">
        <f>'GPI Summary'!G13/H$34*1000000000</f>
        <v>70.735825263997413</v>
      </c>
      <c r="I15" s="371">
        <f>'GPI Summary'!H13/I$34*1000000000</f>
        <v>119.15038160765639</v>
      </c>
      <c r="J15" s="371">
        <f>'GPI Summary'!I13/J$34*1000000000</f>
        <v>107.49317437711218</v>
      </c>
      <c r="K15" s="371">
        <f>'GPI Summary'!J13/K$34*1000000000</f>
        <v>111.2981269491903</v>
      </c>
      <c r="L15" s="371">
        <f>'GPI Summary'!K13/L$34*1000000000</f>
        <v>104.54251452823323</v>
      </c>
      <c r="M15" s="371">
        <f>'GPI Summary'!L13/M$34*1000000000</f>
        <v>114.011677785592</v>
      </c>
      <c r="N15" s="371">
        <f>'GPI Summary'!M13/N$34*1000000000</f>
        <v>94.071336677415246</v>
      </c>
      <c r="O15" s="371">
        <f>'GPI Summary'!N13/O$34*1000000000</f>
        <v>115.17608985495825</v>
      </c>
      <c r="P15" s="371">
        <f>'GPI Summary'!O13/P$34*1000000000</f>
        <v>88.672251286911532</v>
      </c>
      <c r="Q15" s="371">
        <f>'GPI Summary'!P13/Q$34*1000000000</f>
        <v>112.06539460143074</v>
      </c>
      <c r="R15" s="371">
        <f>'GPI Summary'!Q13/R$34*1000000000</f>
        <v>91.495035510706188</v>
      </c>
      <c r="S15" s="371">
        <f>'GPI Summary'!R13/S$34*1000000000</f>
        <v>80.790712723062356</v>
      </c>
      <c r="T15" s="371">
        <f>'GPI Summary'!S13/T$34*1000000000</f>
        <v>93.614879034217552</v>
      </c>
      <c r="U15" s="371">
        <f>'GPI Summary'!T13/U$34*1000000000</f>
        <v>73.637939384177685</v>
      </c>
      <c r="V15" s="371">
        <f>'GPI Summary'!U13/V$34*1000000000</f>
        <v>92.056466080987832</v>
      </c>
      <c r="W15" s="371">
        <f>'GPI Summary'!V13/W$34*1000000000</f>
        <v>49.065062017456391</v>
      </c>
      <c r="X15" s="371">
        <f>'GPI Summary'!W13/X$34*1000000000</f>
        <v>109.42916245042325</v>
      </c>
      <c r="Y15" s="371">
        <f>'GPI Summary'!X13/Y$34*1000000000</f>
        <v>115.69318579648741</v>
      </c>
      <c r="Z15" s="371">
        <f>'GPI Summary'!Y13/Z$34*1000000000</f>
        <v>94.71548266319391</v>
      </c>
      <c r="AA15" s="371">
        <f>'GPI Summary'!Z13/AA$34*1000000000</f>
        <v>92.251919078923379</v>
      </c>
      <c r="AB15" s="371">
        <f>'GPI Summary'!AA13/AB$34*1000000000</f>
        <v>62.421521360255063</v>
      </c>
      <c r="AC15" s="371">
        <f>'GPI Summary'!AB13/AC$34*1000000000</f>
        <v>89.107867709724559</v>
      </c>
      <c r="AD15" s="371">
        <f>'GPI Summary'!AC13/AD$34*1000000000</f>
        <v>70.359516290435366</v>
      </c>
      <c r="AE15" s="371">
        <f>'GPI Summary'!AD13/AE$34*1000000000</f>
        <v>92.030526579619078</v>
      </c>
      <c r="AF15" s="371">
        <f>'GPI Summary'!AE13/AF$34*1000000000</f>
        <v>118.70838661902482</v>
      </c>
      <c r="AG15" s="371">
        <f>'GPI Summary'!AF13/AG$34*1000000000</f>
        <v>76.466462769514251</v>
      </c>
      <c r="AH15" s="371">
        <f>'GPI Summary'!AG13/AH$34*1000000000</f>
        <v>119.59570313413708</v>
      </c>
      <c r="AI15" s="371">
        <f>'GPI Summary'!AH13/AI$34*1000000000</f>
        <v>97.358215466667914</v>
      </c>
      <c r="AJ15" s="371">
        <f>'GPI Summary'!AI13/AJ$34*1000000000</f>
        <v>110.83273368311976</v>
      </c>
      <c r="AK15" s="371">
        <f>'GPI Summary'!AJ13/AK$34*1000000000</f>
        <v>82.88137727604115</v>
      </c>
      <c r="AL15" s="371">
        <f>'GPI Summary'!AK13/AL$34*1000000000</f>
        <v>74.681616951105354</v>
      </c>
      <c r="AM15" s="371">
        <f>'GPI Summary'!AL13/AM$34*1000000000</f>
        <v>98.872048203144487</v>
      </c>
      <c r="AN15" s="371">
        <f>'GPI Summary'!AM13/AN$34*1000000000</f>
        <v>83.355440818564716</v>
      </c>
      <c r="AO15" s="371">
        <f>'GPI Summary'!AN13/AO$34*1000000000</f>
        <v>101.86741989995093</v>
      </c>
      <c r="AP15" s="371">
        <f>'GPI Summary'!AO13/AP$34*1000000000</f>
        <v>99.515280142831017</v>
      </c>
      <c r="AQ15" s="371">
        <f>'GPI Summary'!AP13/AQ$34*1000000000</f>
        <v>115.38220671620392</v>
      </c>
      <c r="AR15" s="371">
        <f>'GPI Summary'!AQ13/AR$34*1000000000</f>
        <v>83.324462657973243</v>
      </c>
      <c r="AS15" s="371">
        <f>'GPI Summary'!AR13/AS$34*1000000000</f>
        <v>71.087498826671961</v>
      </c>
      <c r="AT15" s="371">
        <f>'GPI Summary'!AS13/AT$34*1000000000</f>
        <v>83.564827408642714</v>
      </c>
      <c r="AU15" s="371">
        <f>'GPI Summary'!AT13/AU$34*1000000000</f>
        <v>105.47103586456797</v>
      </c>
      <c r="AV15" s="371">
        <f>'GPI Summary'!AU13/AV$34*1000000000</f>
        <v>112.91685106201442</v>
      </c>
      <c r="AW15" s="371">
        <f>'GPI Summary'!AV13/AW$34*1000000000</f>
        <v>49.303901768140499</v>
      </c>
      <c r="AX15" s="371">
        <f>'GPI Summary'!AW13/AX$34*1000000000</f>
        <v>94.554075770504753</v>
      </c>
      <c r="AY15" s="371">
        <f>'GPI Summary'!AX13/AY$34*1000000000</f>
        <v>105.14098651400948</v>
      </c>
      <c r="AZ15" s="371">
        <f>'GPI Summary'!AY13/AZ$34*1000000000</f>
        <v>61.779773676965853</v>
      </c>
      <c r="BA15" s="371">
        <f>'GPI Summary'!AZ13/BA$34*1000000000</f>
        <v>88.691428773461695</v>
      </c>
      <c r="BB15" s="371">
        <f>'GPI Summary'!BA13/BB$34*1000000000</f>
        <v>81.658464599538931</v>
      </c>
    </row>
    <row r="16" spans="1:56" x14ac:dyDescent="0.2">
      <c r="A16" s="7">
        <v>11</v>
      </c>
      <c r="B16" s="7" t="s">
        <v>117</v>
      </c>
      <c r="C16" s="385" t="s">
        <v>1017</v>
      </c>
      <c r="D16" s="371">
        <f>'GPI Summary'!C14/D$34*1000000000</f>
        <v>-10.433844174601218</v>
      </c>
      <c r="E16" s="371">
        <f>'GPI Summary'!D14/E$34*1000000000</f>
        <v>604.70382371056075</v>
      </c>
      <c r="F16" s="371">
        <f>'GPI Summary'!E14/F$34*1000000000</f>
        <v>-62665.609270501496</v>
      </c>
      <c r="G16" s="371">
        <f>'GPI Summary'!F14/G$34*1000000000</f>
        <v>132.44994291142811</v>
      </c>
      <c r="H16" s="371">
        <f>'GPI Summary'!G14/H$34*1000000000</f>
        <v>605.16539776988009</v>
      </c>
      <c r="I16" s="371">
        <f>'GPI Summary'!H14/I$34*1000000000</f>
        <v>23.961696668659997</v>
      </c>
      <c r="J16" s="371">
        <f>'GPI Summary'!I14/J$34*1000000000</f>
        <v>70.581987164381928</v>
      </c>
      <c r="K16" s="371">
        <f>'GPI Summary'!J14/K$34*1000000000</f>
        <v>33.676682226493611</v>
      </c>
      <c r="L16" s="371">
        <f>'GPI Summary'!K14/L$34*1000000000</f>
        <v>95.245953675438344</v>
      </c>
      <c r="M16" s="371">
        <f>'GPI Summary'!L14/M$34*1000000000</f>
        <v>192.17163999341994</v>
      </c>
      <c r="N16" s="371">
        <f>'GPI Summary'!M14/N$34*1000000000</f>
        <v>125.39380431230983</v>
      </c>
      <c r="O16" s="371">
        <f>'GPI Summary'!N14/O$34*1000000000</f>
        <v>7.6657667877426796</v>
      </c>
      <c r="P16" s="371">
        <f>'GPI Summary'!O14/P$34*1000000000</f>
        <v>99.68168995310613</v>
      </c>
      <c r="Q16" s="371">
        <f>'GPI Summary'!P14/Q$34*1000000000</f>
        <v>115.43446844143966</v>
      </c>
      <c r="R16" s="371">
        <f>'GPI Summary'!Q14/R$34*1000000000</f>
        <v>155.36098293318648</v>
      </c>
      <c r="S16" s="371">
        <f>'GPI Summary'!R14/S$34*1000000000</f>
        <v>235.84607802481491</v>
      </c>
      <c r="T16" s="371">
        <f>'GPI Summary'!S14/T$34*1000000000</f>
        <v>52.670017552000367</v>
      </c>
      <c r="U16" s="371">
        <f>'GPI Summary'!T14/U$34*1000000000</f>
        <v>64.767958309391958</v>
      </c>
      <c r="V16" s="371">
        <f>'GPI Summary'!U14/V$34*1000000000</f>
        <v>637.87928266351526</v>
      </c>
      <c r="W16" s="371">
        <f>'GPI Summary'!V14/W$34*1000000000</f>
        <v>874.95879073367018</v>
      </c>
      <c r="X16" s="371">
        <f>'GPI Summary'!W14/X$34*1000000000</f>
        <v>50.936704221590496</v>
      </c>
      <c r="Y16" s="371">
        <f>'GPI Summary'!X14/Y$34*1000000000</f>
        <v>22.304193262228463</v>
      </c>
      <c r="Z16" s="371">
        <f>'GPI Summary'!Y14/Z$34*1000000000</f>
        <v>204.46150383022956</v>
      </c>
      <c r="AA16" s="371">
        <f>'GPI Summary'!Z14/AA$34*1000000000</f>
        <v>507.51840622830787</v>
      </c>
      <c r="AB16" s="371">
        <f>'GPI Summary'!AA14/AB$34*1000000000</f>
        <v>597.99758479630896</v>
      </c>
      <c r="AC16" s="371">
        <f>'GPI Summary'!AB14/AC$34*1000000000</f>
        <v>145.66191258827735</v>
      </c>
      <c r="AD16" s="371">
        <f>'GPI Summary'!AC14/AD$34*1000000000</f>
        <v>206.53561219763913</v>
      </c>
      <c r="AE16" s="371">
        <f>'GPI Summary'!AD14/AE$34*1000000000</f>
        <v>285.02737108380188</v>
      </c>
      <c r="AF16" s="371">
        <f>'GPI Summary'!AE14/AF$34*1000000000</f>
        <v>32.219863716856324</v>
      </c>
      <c r="AG16" s="371">
        <f>'GPI Summary'!AF14/AG$34*1000000000</f>
        <v>29.756976001333953</v>
      </c>
      <c r="AH16" s="371">
        <f>'GPI Summary'!AG14/AH$34*1000000000</f>
        <v>30.613132536363068</v>
      </c>
      <c r="AI16" s="371">
        <f>'GPI Summary'!AH14/AI$34*1000000000</f>
        <v>62.639126637232032</v>
      </c>
      <c r="AJ16" s="371">
        <f>'GPI Summary'!AI14/AJ$34*1000000000</f>
        <v>23.562085755113351</v>
      </c>
      <c r="AK16" s="371">
        <f>'GPI Summary'!AJ14/AK$34*1000000000</f>
        <v>207.32443510468974</v>
      </c>
      <c r="AL16" s="371">
        <f>'GPI Summary'!AK14/AL$34*1000000000</f>
        <v>1295.8440135044893</v>
      </c>
      <c r="AM16" s="371">
        <f>'GPI Summary'!AL14/AM$34*1000000000</f>
        <v>78.297584783697644</v>
      </c>
      <c r="AN16" s="371">
        <f>'GPI Summary'!AM14/AN$34*1000000000</f>
        <v>135.78670398013611</v>
      </c>
      <c r="AO16" s="371">
        <f>'GPI Summary'!AN14/AO$34*1000000000</f>
        <v>105.36747603236584</v>
      </c>
      <c r="AP16" s="371">
        <f>'GPI Summary'!AO14/AP$34*1000000000</f>
        <v>15.913855319559328</v>
      </c>
      <c r="AQ16" s="371">
        <f>'GPI Summary'!AP14/AQ$34*1000000000</f>
        <v>17.575764962969981</v>
      </c>
      <c r="AR16" s="371">
        <f>'GPI Summary'!AQ14/AR$34*1000000000</f>
        <v>247.38643755890578</v>
      </c>
      <c r="AS16" s="371">
        <f>'GPI Summary'!AR14/AS$34*1000000000</f>
        <v>597.69682257123998</v>
      </c>
      <c r="AT16" s="371">
        <f>'GPI Summary'!AS14/AT$34*1000000000</f>
        <v>54.647028269309367</v>
      </c>
      <c r="AU16" s="371">
        <f>'GPI Summary'!AT14/AU$34*1000000000</f>
        <v>112.68894524697025</v>
      </c>
      <c r="AV16" s="371">
        <f>'GPI Summary'!AU14/AV$34*1000000000</f>
        <v>51.102523461244957</v>
      </c>
      <c r="AW16" s="371">
        <f>'GPI Summary'!AV14/AW$34*1000000000</f>
        <v>97.403081197879999</v>
      </c>
      <c r="AX16" s="371">
        <f>'GPI Summary'!AW14/AX$34*1000000000</f>
        <v>41.054855828952896</v>
      </c>
      <c r="AY16" s="371">
        <f>'GPI Summary'!AX14/AY$34*1000000000</f>
        <v>35.625917220601529</v>
      </c>
      <c r="AZ16" s="371">
        <f>'GPI Summary'!AY14/AZ$34*1000000000</f>
        <v>13.010018760703588</v>
      </c>
      <c r="BA16" s="371">
        <f>'GPI Summary'!AZ14/BA$34*1000000000</f>
        <v>309.38626751513112</v>
      </c>
      <c r="BB16" s="371">
        <f>'GPI Summary'!BA14/BB$34*1000000000</f>
        <v>636.18669289833963</v>
      </c>
    </row>
    <row r="17" spans="1:54" x14ac:dyDescent="0.2">
      <c r="A17" s="7">
        <v>12</v>
      </c>
      <c r="B17" s="7" t="s">
        <v>118</v>
      </c>
      <c r="C17" s="385" t="s">
        <v>1017</v>
      </c>
      <c r="D17" s="371">
        <f>'GPI Summary'!C15/D$34*1000000000</f>
        <v>768.77404867108669</v>
      </c>
      <c r="E17" s="371">
        <f>'GPI Summary'!D15/E$34*1000000000</f>
        <v>1239.8022846256315</v>
      </c>
      <c r="F17" s="371">
        <f>'GPI Summary'!E15/F$34*1000000000</f>
        <v>-4.0873276000514656</v>
      </c>
      <c r="G17" s="371">
        <f>'GPI Summary'!F15/G$34*1000000000</f>
        <v>799.8420179763574</v>
      </c>
      <c r="H17" s="371">
        <f>'GPI Summary'!G15/H$34*1000000000</f>
        <v>1549.4336179292995</v>
      </c>
      <c r="I17" s="371">
        <f>'GPI Summary'!H15/I$34*1000000000</f>
        <v>969.70286924924937</v>
      </c>
      <c r="J17" s="371">
        <f>'GPI Summary'!I15/J$34*1000000000</f>
        <v>802.74155829836025</v>
      </c>
      <c r="K17" s="371">
        <f>'GPI Summary'!J15/K$34*1000000000</f>
        <v>420.61824165534131</v>
      </c>
      <c r="L17" s="371">
        <f>'GPI Summary'!K15/L$34*1000000000</f>
        <v>1249.6264922357441</v>
      </c>
      <c r="M17" s="371">
        <f>'GPI Summary'!L15/M$34*1000000000</f>
        <v>558.23676636796893</v>
      </c>
      <c r="N17" s="371">
        <f>'GPI Summary'!M15/N$34*1000000000</f>
        <v>1381.4526827994196</v>
      </c>
      <c r="O17" s="371">
        <f>'GPI Summary'!N15/O$34*1000000000</f>
        <v>465.46689315969849</v>
      </c>
      <c r="P17" s="371">
        <f>'GPI Summary'!O15/P$34*1000000000</f>
        <v>2454.3937901507447</v>
      </c>
      <c r="Q17" s="371">
        <f>'GPI Summary'!P15/Q$34*1000000000</f>
        <v>457.1323208177472</v>
      </c>
      <c r="R17" s="371">
        <f>'GPI Summary'!Q15/R$34*1000000000</f>
        <v>1049.6845997650344</v>
      </c>
      <c r="S17" s="371">
        <f>'GPI Summary'!R15/S$34*1000000000</f>
        <v>2417.8805178740099</v>
      </c>
      <c r="T17" s="371">
        <f>'GPI Summary'!S15/T$34*1000000000</f>
        <v>977.3582918697723</v>
      </c>
      <c r="U17" s="371">
        <f>'GPI Summary'!T15/U$34*1000000000</f>
        <v>687.07141860363879</v>
      </c>
      <c r="V17" s="371">
        <f>'GPI Summary'!U15/V$34*1000000000</f>
        <v>533.59606184111431</v>
      </c>
      <c r="W17" s="371">
        <f>'GPI Summary'!V15/W$34*1000000000</f>
        <v>1307.6556090032955</v>
      </c>
      <c r="X17" s="371">
        <f>'GPI Summary'!W15/X$34*1000000000</f>
        <v>517.17515151325756</v>
      </c>
      <c r="Y17" s="371">
        <f>'GPI Summary'!X15/Y$34*1000000000</f>
        <v>207.82685178649677</v>
      </c>
      <c r="Z17" s="371">
        <f>'GPI Summary'!Y15/Z$34*1000000000</f>
        <v>752.97392976481729</v>
      </c>
      <c r="AA17" s="371">
        <f>'GPI Summary'!Z15/AA$34*1000000000</f>
        <v>1296.3745894321708</v>
      </c>
      <c r="AB17" s="371">
        <f>'GPI Summary'!AA15/AB$34*1000000000</f>
        <v>2305.8227243681231</v>
      </c>
      <c r="AC17" s="371">
        <f>'GPI Summary'!AB15/AC$34*1000000000</f>
        <v>647.61815320731944</v>
      </c>
      <c r="AD17" s="371">
        <f>'GPI Summary'!AC15/AD$34*1000000000</f>
        <v>802.22312666606331</v>
      </c>
      <c r="AE17" s="371">
        <f>'GPI Summary'!AD15/AE$34*1000000000</f>
        <v>1309.0791647954984</v>
      </c>
      <c r="AF17" s="371">
        <f>'GPI Summary'!AE15/AF$34*1000000000</f>
        <v>239.72233448043559</v>
      </c>
      <c r="AG17" s="371">
        <f>'GPI Summary'!AF15/AG$34*1000000000</f>
        <v>421.06640365933703</v>
      </c>
      <c r="AH17" s="371">
        <f>'GPI Summary'!AG15/AH$34*1000000000</f>
        <v>243.71393320542421</v>
      </c>
      <c r="AI17" s="371">
        <f>'GPI Summary'!AH15/AI$34*1000000000</f>
        <v>639.10359126224103</v>
      </c>
      <c r="AJ17" s="371">
        <f>'GPI Summary'!AI15/AJ$34*1000000000</f>
        <v>439.42914705451921</v>
      </c>
      <c r="AK17" s="371">
        <f>'GPI Summary'!AJ15/AK$34*1000000000</f>
        <v>1721.0573081594632</v>
      </c>
      <c r="AL17" s="371">
        <f>'GPI Summary'!AK15/AL$34*1000000000</f>
        <v>1356.649686594144</v>
      </c>
      <c r="AM17" s="371">
        <f>'GPI Summary'!AL15/AM$34*1000000000</f>
        <v>630.13539722565542</v>
      </c>
      <c r="AN17" s="371">
        <f>'GPI Summary'!AM15/AN$34*1000000000</f>
        <v>290.32209733888533</v>
      </c>
      <c r="AO17" s="371">
        <f>'GPI Summary'!AN15/AO$34*1000000000</f>
        <v>699.49793045078115</v>
      </c>
      <c r="AP17" s="371">
        <f>'GPI Summary'!AO15/AP$34*1000000000</f>
        <v>567.08393462311074</v>
      </c>
      <c r="AQ17" s="371">
        <f>'GPI Summary'!AP15/AQ$34*1000000000</f>
        <v>138.91405042124836</v>
      </c>
      <c r="AR17" s="371">
        <f>'GPI Summary'!AQ15/AR$34*1000000000</f>
        <v>927.04651986266197</v>
      </c>
      <c r="AS17" s="371">
        <f>'GPI Summary'!AR15/AS$34*1000000000</f>
        <v>939.25221619451975</v>
      </c>
      <c r="AT17" s="371">
        <f>'GPI Summary'!AS15/AT$34*1000000000</f>
        <v>622.77165676757795</v>
      </c>
      <c r="AU17" s="371">
        <f>'GPI Summary'!AT15/AU$34*1000000000</f>
        <v>328.51334442010466</v>
      </c>
      <c r="AV17" s="371">
        <f>'GPI Summary'!AU15/AV$34*1000000000</f>
        <v>273.5535536512682</v>
      </c>
      <c r="AW17" s="371">
        <f>'GPI Summary'!AV15/AW$34*1000000000</f>
        <v>2593.5920347352017</v>
      </c>
      <c r="AX17" s="371">
        <f>'GPI Summary'!AW15/AX$34*1000000000</f>
        <v>554.08152238310799</v>
      </c>
      <c r="AY17" s="371">
        <f>'GPI Summary'!AX15/AY$34*1000000000</f>
        <v>530.58009251760404</v>
      </c>
      <c r="AZ17" s="371">
        <f>'GPI Summary'!AY15/AZ$34*1000000000</f>
        <v>564.98419918718264</v>
      </c>
      <c r="BA17" s="371">
        <f>'GPI Summary'!AZ15/BA$34*1000000000</f>
        <v>1677.2920366674975</v>
      </c>
      <c r="BB17" s="371">
        <f>'GPI Summary'!BA15/BB$34*1000000000</f>
        <v>1100.7246460863032</v>
      </c>
    </row>
    <row r="18" spans="1:54" x14ac:dyDescent="0.2">
      <c r="A18" s="7">
        <v>13</v>
      </c>
      <c r="B18" s="7" t="s">
        <v>119</v>
      </c>
      <c r="C18" s="385" t="s">
        <v>1017</v>
      </c>
      <c r="D18" s="371">
        <f>'GPI Summary'!C16/D$34*1000000000</f>
        <v>222.63133816736206</v>
      </c>
      <c r="E18" s="371">
        <f>'GPI Summary'!D16/E$34*1000000000</f>
        <v>545.20621198291565</v>
      </c>
      <c r="F18" s="371">
        <f>'GPI Summary'!E16/F$34*1000000000</f>
        <v>1282.3025861354406</v>
      </c>
      <c r="G18" s="371">
        <f>'GPI Summary'!F16/G$34*1000000000</f>
        <v>-263.94611651017453</v>
      </c>
      <c r="H18" s="371">
        <f>'GPI Summary'!G16/H$34*1000000000</f>
        <v>1823.9507906303104</v>
      </c>
      <c r="I18" s="371">
        <f>'GPI Summary'!H16/I$34*1000000000</f>
        <v>-29.903605625453228</v>
      </c>
      <c r="J18" s="371">
        <f>'GPI Summary'!I16/J$34*1000000000</f>
        <v>-508.56716245053587</v>
      </c>
      <c r="K18" s="371">
        <f>'GPI Summary'!J16/K$34*1000000000</f>
        <v>142.95593055543546</v>
      </c>
      <c r="L18" s="371">
        <f>'GPI Summary'!K16/L$34*1000000000</f>
        <v>358.64652865371642</v>
      </c>
      <c r="M18" s="371">
        <f>'GPI Summary'!L16/M$34*1000000000</f>
        <v>255.33255042625439</v>
      </c>
      <c r="N18" s="371">
        <f>'GPI Summary'!M16/N$34*1000000000</f>
        <v>432.48036038526493</v>
      </c>
      <c r="O18" s="371">
        <f>'GPI Summary'!N16/O$34*1000000000</f>
        <v>-6.0378963072397438</v>
      </c>
      <c r="P18" s="371">
        <f>'GPI Summary'!O16/P$34*1000000000</f>
        <v>618.26132710715899</v>
      </c>
      <c r="Q18" s="371">
        <f>'GPI Summary'!P16/Q$34*1000000000</f>
        <v>245.51824414156656</v>
      </c>
      <c r="R18" s="371">
        <f>'GPI Summary'!Q16/R$34*1000000000</f>
        <v>935.93465975247182</v>
      </c>
      <c r="S18" s="371">
        <f>'GPI Summary'!R16/S$34*1000000000</f>
        <v>318.88808544703375</v>
      </c>
      <c r="T18" s="371">
        <f>'GPI Summary'!S16/T$34*1000000000</f>
        <v>-135.18597461972018</v>
      </c>
      <c r="U18" s="371">
        <f>'GPI Summary'!T16/U$34*1000000000</f>
        <v>978.70426171849772</v>
      </c>
      <c r="V18" s="371">
        <f>'GPI Summary'!U16/V$34*1000000000</f>
        <v>925.21287845542281</v>
      </c>
      <c r="W18" s="371">
        <f>'GPI Summary'!V16/W$34*1000000000</f>
        <v>342.05140832971972</v>
      </c>
      <c r="X18" s="371">
        <f>'GPI Summary'!W16/X$34*1000000000</f>
        <v>223.05321755635515</v>
      </c>
      <c r="Y18" s="371">
        <f>'GPI Summary'!X16/Y$34*1000000000</f>
        <v>92.488279797663182</v>
      </c>
      <c r="Z18" s="371">
        <f>'GPI Summary'!Y16/Z$34*1000000000</f>
        <v>523.9950310095345</v>
      </c>
      <c r="AA18" s="371">
        <f>'GPI Summary'!Z16/AA$34*1000000000</f>
        <v>829.26946830614872</v>
      </c>
      <c r="AB18" s="371">
        <f>'GPI Summary'!AA16/AB$34*1000000000</f>
        <v>1046.0844898502312</v>
      </c>
      <c r="AC18" s="371">
        <f>'GPI Summary'!AB16/AC$34*1000000000</f>
        <v>756.40858703634399</v>
      </c>
      <c r="AD18" s="371">
        <f>'GPI Summary'!AC16/AD$34*1000000000</f>
        <v>-953.26058649830179</v>
      </c>
      <c r="AE18" s="371">
        <f>'GPI Summary'!AD16/AE$34*1000000000</f>
        <v>-22.843694597320482</v>
      </c>
      <c r="AF18" s="371">
        <f>'GPI Summary'!AE16/AF$34*1000000000</f>
        <v>-1099.5044406062841</v>
      </c>
      <c r="AG18" s="371">
        <f>'GPI Summary'!AF16/AG$34*1000000000</f>
        <v>192.83906623655767</v>
      </c>
      <c r="AH18" s="371">
        <f>'GPI Summary'!AG16/AH$34*1000000000</f>
        <v>107.01588224236208</v>
      </c>
      <c r="AI18" s="371">
        <f>'GPI Summary'!AH16/AI$34*1000000000</f>
        <v>-1630.9479682191627</v>
      </c>
      <c r="AJ18" s="371">
        <f>'GPI Summary'!AI16/AJ$34*1000000000</f>
        <v>174.4788607246702</v>
      </c>
      <c r="AK18" s="371">
        <f>'GPI Summary'!AJ16/AK$34*1000000000</f>
        <v>472.9990232094716</v>
      </c>
      <c r="AL18" s="371">
        <f>'GPI Summary'!AK16/AL$34*1000000000</f>
        <v>-193.45643269562169</v>
      </c>
      <c r="AM18" s="371">
        <f>'GPI Summary'!AL16/AM$34*1000000000</f>
        <v>556.87724971157195</v>
      </c>
      <c r="AN18" s="371">
        <f>'GPI Summary'!AM16/AN$34*1000000000</f>
        <v>57.620733190404067</v>
      </c>
      <c r="AO18" s="371">
        <f>'GPI Summary'!AN16/AO$34*1000000000</f>
        <v>98.108118019899536</v>
      </c>
      <c r="AP18" s="371">
        <f>'GPI Summary'!AO16/AP$34*1000000000</f>
        <v>340.23266147037003</v>
      </c>
      <c r="AQ18" s="371">
        <f>'GPI Summary'!AP16/AQ$34*1000000000</f>
        <v>106.53735278485802</v>
      </c>
      <c r="AR18" s="371">
        <f>'GPI Summary'!AQ16/AR$34*1000000000</f>
        <v>373.41594717748404</v>
      </c>
      <c r="AS18" s="371">
        <f>'GPI Summary'!AR16/AS$34*1000000000</f>
        <v>-230.03315101026845</v>
      </c>
      <c r="AT18" s="371">
        <f>'GPI Summary'!AS16/AT$34*1000000000</f>
        <v>637.74587636588547</v>
      </c>
      <c r="AU18" s="371">
        <f>'GPI Summary'!AT16/AU$34*1000000000</f>
        <v>-324.54569417580007</v>
      </c>
      <c r="AV18" s="371">
        <f>'GPI Summary'!AU16/AV$34*1000000000</f>
        <v>-1514.8093784647028</v>
      </c>
      <c r="AW18" s="371">
        <f>'GPI Summary'!AV16/AW$34*1000000000</f>
        <v>672.25486910780785</v>
      </c>
      <c r="AX18" s="371">
        <f>'GPI Summary'!AW16/AX$34*1000000000</f>
        <v>415.97554782769424</v>
      </c>
      <c r="AY18" s="371">
        <f>'GPI Summary'!AX16/AY$34*1000000000</f>
        <v>188.04088033840662</v>
      </c>
      <c r="AZ18" s="371">
        <f>'GPI Summary'!AY16/AZ$34*1000000000</f>
        <v>551.94084068536006</v>
      </c>
      <c r="BA18" s="371">
        <f>'GPI Summary'!AZ16/BA$34*1000000000</f>
        <v>656.92968142906898</v>
      </c>
      <c r="BB18" s="371">
        <f>'GPI Summary'!BA16/BB$34*1000000000</f>
        <v>1422.4896206764365</v>
      </c>
    </row>
    <row r="19" spans="1:54" x14ac:dyDescent="0.2">
      <c r="A19" s="7">
        <v>14</v>
      </c>
      <c r="B19" s="7" t="s">
        <v>120</v>
      </c>
      <c r="C19" s="385" t="s">
        <v>1017</v>
      </c>
      <c r="D19" s="371">
        <f>'GPI Summary'!C17/D$34*1000000000</f>
        <v>2496.3337886417439</v>
      </c>
      <c r="E19" s="371">
        <f>'GPI Summary'!D17/E$34*1000000000</f>
        <v>4023.8993169927662</v>
      </c>
      <c r="F19" s="371">
        <f>'GPI Summary'!E17/F$34*1000000000</f>
        <v>6975.0713329966766</v>
      </c>
      <c r="G19" s="371">
        <f>'GPI Summary'!F17/G$34*1000000000</f>
        <v>1935.4103368736953</v>
      </c>
      <c r="H19" s="371">
        <f>'GPI Summary'!G17/H$34*1000000000</f>
        <v>3410.864611541409</v>
      </c>
      <c r="I19" s="371">
        <f>'GPI Summary'!H17/I$34*1000000000</f>
        <v>1308.9601513002974</v>
      </c>
      <c r="J19" s="371">
        <f>'GPI Summary'!I17/J$34*1000000000</f>
        <v>2431.7084985757165</v>
      </c>
      <c r="K19" s="371">
        <f>'GPI Summary'!J17/K$34*1000000000</f>
        <v>1366.952953243836</v>
      </c>
      <c r="L19" s="371">
        <f>'GPI Summary'!K17/L$34*1000000000</f>
        <v>1950.1577448278747</v>
      </c>
      <c r="M19" s="371">
        <f>'GPI Summary'!L17/M$34*1000000000</f>
        <v>1711.1588129257577</v>
      </c>
      <c r="N19" s="371">
        <f>'GPI Summary'!M17/N$34*1000000000</f>
        <v>2320.6012823052752</v>
      </c>
      <c r="O19" s="371">
        <f>'GPI Summary'!N17/O$34*1000000000</f>
        <v>1871.9717669489341</v>
      </c>
      <c r="P19" s="371">
        <f>'GPI Summary'!O17/P$34*1000000000</f>
        <v>1576.0144431240601</v>
      </c>
      <c r="Q19" s="371">
        <f>'GPI Summary'!P17/Q$34*1000000000</f>
        <v>2455.140386415912</v>
      </c>
      <c r="R19" s="371">
        <f>'GPI Summary'!Q17/R$34*1000000000</f>
        <v>4375.3654606235305</v>
      </c>
      <c r="S19" s="371">
        <f>'GPI Summary'!R17/S$34*1000000000</f>
        <v>3896.8561461800409</v>
      </c>
      <c r="T19" s="371">
        <f>'GPI Summary'!S17/T$34*1000000000</f>
        <v>3509.5740501738119</v>
      </c>
      <c r="U19" s="371">
        <f>'GPI Summary'!T17/U$34*1000000000</f>
        <v>4623.4672868837815</v>
      </c>
      <c r="V19" s="371">
        <f>'GPI Summary'!U17/V$34*1000000000</f>
        <v>7143.2604738395139</v>
      </c>
      <c r="W19" s="371">
        <f>'GPI Summary'!V17/W$34*1000000000</f>
        <v>2666.58166974608</v>
      </c>
      <c r="X19" s="371">
        <f>'GPI Summary'!W17/X$34*1000000000</f>
        <v>1570.5527958652974</v>
      </c>
      <c r="Y19" s="371">
        <f>'GPI Summary'!X17/Y$34*1000000000</f>
        <v>1428.3931540301849</v>
      </c>
      <c r="Z19" s="371">
        <f>'GPI Summary'!Y17/Z$34*1000000000</f>
        <v>2274.3920061620665</v>
      </c>
      <c r="AA19" s="371">
        <f>'GPI Summary'!Z17/AA$34*1000000000</f>
        <v>2492.8573373065756</v>
      </c>
      <c r="AB19" s="371">
        <f>'GPI Summary'!AA17/AB$34*1000000000</f>
        <v>2962.5971891971762</v>
      </c>
      <c r="AC19" s="371">
        <f>'GPI Summary'!AB17/AC$34*1000000000</f>
        <v>3087.2178259575599</v>
      </c>
      <c r="AD19" s="371">
        <f>'GPI Summary'!AC17/AD$34*1000000000</f>
        <v>4286.3673547076532</v>
      </c>
      <c r="AE19" s="371">
        <f>'GPI Summary'!AD17/AE$34*1000000000</f>
        <v>3821.9500838828676</v>
      </c>
      <c r="AF19" s="371">
        <f>'GPI Summary'!AE17/AF$34*1000000000</f>
        <v>1663.3391837418612</v>
      </c>
      <c r="AG19" s="371">
        <f>'GPI Summary'!AF17/AG$34*1000000000</f>
        <v>1886.0839183453359</v>
      </c>
      <c r="AH19" s="371">
        <f>'GPI Summary'!AG17/AH$34*1000000000</f>
        <v>1793.7154486263726</v>
      </c>
      <c r="AI19" s="371">
        <f>'GPI Summary'!AH17/AI$34*1000000000</f>
        <v>3724.0869402549361</v>
      </c>
      <c r="AJ19" s="371">
        <f>'GPI Summary'!AI17/AJ$34*1000000000</f>
        <v>1161.6450686996852</v>
      </c>
      <c r="AK19" s="371">
        <f>'GPI Summary'!AJ17/AK$34*1000000000</f>
        <v>1911.0513868836356</v>
      </c>
      <c r="AL19" s="371">
        <f>'GPI Summary'!AK17/AL$34*1000000000</f>
        <v>10464.445001113883</v>
      </c>
      <c r="AM19" s="371">
        <f>'GPI Summary'!AL17/AM$34*1000000000</f>
        <v>2812.6025770161314</v>
      </c>
      <c r="AN19" s="371">
        <f>'GPI Summary'!AM17/AN$34*1000000000</f>
        <v>3876.512277156467</v>
      </c>
      <c r="AO19" s="371">
        <f>'GPI Summary'!AN17/AO$34*1000000000</f>
        <v>1429.9882295005309</v>
      </c>
      <c r="AP19" s="371">
        <f>'GPI Summary'!AO17/AP$34*1000000000</f>
        <v>2701.9773440023196</v>
      </c>
      <c r="AQ19" s="371">
        <f>'GPI Summary'!AP17/AQ$34*1000000000</f>
        <v>1413.5229389589263</v>
      </c>
      <c r="AR19" s="371">
        <f>'GPI Summary'!AQ17/AR$34*1000000000</f>
        <v>2515.2343468011582</v>
      </c>
      <c r="AS19" s="371">
        <f>'GPI Summary'!AR17/AS$34*1000000000</f>
        <v>2451.828809249384</v>
      </c>
      <c r="AT19" s="371">
        <f>'GPI Summary'!AS17/AT$34*1000000000</f>
        <v>2319.4446673099342</v>
      </c>
      <c r="AU19" s="371">
        <f>'GPI Summary'!AT17/AU$34*1000000000</f>
        <v>4000.1743587217547</v>
      </c>
      <c r="AV19" s="371">
        <f>'GPI Summary'!AU17/AV$34*1000000000</f>
        <v>3059.8457960760397</v>
      </c>
      <c r="AW19" s="371">
        <f>'GPI Summary'!AV17/AW$34*1000000000</f>
        <v>1534.8151813860375</v>
      </c>
      <c r="AX19" s="371">
        <f>'GPI Summary'!AW17/AX$34*1000000000</f>
        <v>1767.6866936265053</v>
      </c>
      <c r="AY19" s="371">
        <f>'GPI Summary'!AX17/AY$34*1000000000</f>
        <v>1530.6499460288214</v>
      </c>
      <c r="AZ19" s="371">
        <f>'GPI Summary'!AY17/AZ$34*1000000000</f>
        <v>7070.6693894544678</v>
      </c>
      <c r="BA19" s="371">
        <f>'GPI Summary'!AZ17/BA$34*1000000000</f>
        <v>2497.1647224772805</v>
      </c>
      <c r="BB19" s="371">
        <f>'GPI Summary'!BA17/BB$34*1000000000</f>
        <v>15004.613918517305</v>
      </c>
    </row>
    <row r="20" spans="1:54" x14ac:dyDescent="0.2">
      <c r="A20" s="7">
        <v>15</v>
      </c>
      <c r="B20" s="7" t="s">
        <v>121</v>
      </c>
      <c r="C20" s="385" t="s">
        <v>1017</v>
      </c>
      <c r="D20" s="371">
        <f>'GPI Summary'!C18/D$34*1000000000</f>
        <v>2017.518182113681</v>
      </c>
      <c r="E20" s="371">
        <f>'GPI Summary'!D18/E$34*1000000000</f>
        <v>2017.518182113681</v>
      </c>
      <c r="F20" s="371">
        <f>'GPI Summary'!E18/F$34*1000000000</f>
        <v>2017.518182113681</v>
      </c>
      <c r="G20" s="371">
        <f>'GPI Summary'!F18/G$34*1000000000</f>
        <v>2017.5181821136805</v>
      </c>
      <c r="H20" s="371">
        <f>'GPI Summary'!G18/H$34*1000000000</f>
        <v>2017.518182113681</v>
      </c>
      <c r="I20" s="371">
        <f>'GPI Summary'!H18/I$34*1000000000</f>
        <v>2017.518182113681</v>
      </c>
      <c r="J20" s="371">
        <f>'GPI Summary'!I18/J$34*1000000000</f>
        <v>2017.518182113681</v>
      </c>
      <c r="K20" s="371">
        <f>'GPI Summary'!J18/K$34*1000000000</f>
        <v>2017.518182113681</v>
      </c>
      <c r="L20" s="371">
        <f>'GPI Summary'!K18/L$34*1000000000</f>
        <v>2017.518182113681</v>
      </c>
      <c r="M20" s="371">
        <f>'GPI Summary'!L18/M$34*1000000000</f>
        <v>2017.518182113681</v>
      </c>
      <c r="N20" s="371">
        <f>'GPI Summary'!M18/N$34*1000000000</f>
        <v>2017.518182113681</v>
      </c>
      <c r="O20" s="371">
        <f>'GPI Summary'!N18/O$34*1000000000</f>
        <v>2017.5181821136805</v>
      </c>
      <c r="P20" s="371">
        <f>'GPI Summary'!O18/P$34*1000000000</f>
        <v>2017.518182113681</v>
      </c>
      <c r="Q20" s="371">
        <f>'GPI Summary'!P18/Q$34*1000000000</f>
        <v>2017.518182113681</v>
      </c>
      <c r="R20" s="371">
        <f>'GPI Summary'!Q18/R$34*1000000000</f>
        <v>2017.518182113681</v>
      </c>
      <c r="S20" s="371">
        <f>'GPI Summary'!R18/S$34*1000000000</f>
        <v>2017.518182113681</v>
      </c>
      <c r="T20" s="371">
        <f>'GPI Summary'!S18/T$34*1000000000</f>
        <v>2017.518182113681</v>
      </c>
      <c r="U20" s="371">
        <f>'GPI Summary'!T18/U$34*1000000000</f>
        <v>2017.518182113681</v>
      </c>
      <c r="V20" s="371">
        <f>'GPI Summary'!U18/V$34*1000000000</f>
        <v>2017.518182113681</v>
      </c>
      <c r="W20" s="371">
        <f>'GPI Summary'!V18/W$34*1000000000</f>
        <v>2017.518182113681</v>
      </c>
      <c r="X20" s="371">
        <f>'GPI Summary'!W18/X$34*1000000000</f>
        <v>2017.5181821136805</v>
      </c>
      <c r="Y20" s="371">
        <f>'GPI Summary'!X18/Y$34*1000000000</f>
        <v>2017.518182113681</v>
      </c>
      <c r="Z20" s="371">
        <f>'GPI Summary'!Y18/Z$34*1000000000</f>
        <v>2017.518182113681</v>
      </c>
      <c r="AA20" s="371">
        <f>'GPI Summary'!Z18/AA$34*1000000000</f>
        <v>2017.518182113681</v>
      </c>
      <c r="AB20" s="371">
        <f>'GPI Summary'!AA18/AB$34*1000000000</f>
        <v>2017.518182113681</v>
      </c>
      <c r="AC20" s="371">
        <f>'GPI Summary'!AB18/AC$34*1000000000</f>
        <v>2017.5181821136805</v>
      </c>
      <c r="AD20" s="371">
        <f>'GPI Summary'!AC18/AD$34*1000000000</f>
        <v>2017.5181821136805</v>
      </c>
      <c r="AE20" s="371">
        <f>'GPI Summary'!AD18/AE$34*1000000000</f>
        <v>2017.518182113681</v>
      </c>
      <c r="AF20" s="371">
        <f>'GPI Summary'!AE18/AF$34*1000000000</f>
        <v>2017.5181821136805</v>
      </c>
      <c r="AG20" s="371">
        <f>'GPI Summary'!AF18/AG$34*1000000000</f>
        <v>2017.5181821136805</v>
      </c>
      <c r="AH20" s="371">
        <f>'GPI Summary'!AG18/AH$34*1000000000</f>
        <v>2017.518182113681</v>
      </c>
      <c r="AI20" s="371">
        <f>'GPI Summary'!AH18/AI$34*1000000000</f>
        <v>2017.518182113681</v>
      </c>
      <c r="AJ20" s="371">
        <f>'GPI Summary'!AI18/AJ$34*1000000000</f>
        <v>2017.5181821136805</v>
      </c>
      <c r="AK20" s="371">
        <f>'GPI Summary'!AJ18/AK$34*1000000000</f>
        <v>2017.518182113681</v>
      </c>
      <c r="AL20" s="371">
        <f>'GPI Summary'!AK18/AL$34*1000000000</f>
        <v>2017.518182113681</v>
      </c>
      <c r="AM20" s="371">
        <f>'GPI Summary'!AL18/AM$34*1000000000</f>
        <v>2017.5181821136805</v>
      </c>
      <c r="AN20" s="371">
        <f>'GPI Summary'!AM18/AN$34*1000000000</f>
        <v>2017.5181821136805</v>
      </c>
      <c r="AO20" s="371">
        <f>'GPI Summary'!AN18/AO$34*1000000000</f>
        <v>2017.518182113681</v>
      </c>
      <c r="AP20" s="371">
        <f>'GPI Summary'!AO18/AP$34*1000000000</f>
        <v>2017.518182113681</v>
      </c>
      <c r="AQ20" s="371">
        <f>'GPI Summary'!AP18/AQ$34*1000000000</f>
        <v>2017.5181821136805</v>
      </c>
      <c r="AR20" s="371">
        <f>'GPI Summary'!AQ18/AR$34*1000000000</f>
        <v>2017.518182113681</v>
      </c>
      <c r="AS20" s="371">
        <f>'GPI Summary'!AR18/AS$34*1000000000</f>
        <v>2017.518182113681</v>
      </c>
      <c r="AT20" s="371">
        <f>'GPI Summary'!AS18/AT$34*1000000000</f>
        <v>2017.518182113681</v>
      </c>
      <c r="AU20" s="371">
        <f>'GPI Summary'!AT18/AU$34*1000000000</f>
        <v>2017.518182113681</v>
      </c>
      <c r="AV20" s="371">
        <f>'GPI Summary'!AU18/AV$34*1000000000</f>
        <v>2017.518182113681</v>
      </c>
      <c r="AW20" s="371">
        <f>'GPI Summary'!AV18/AW$34*1000000000</f>
        <v>2017.5181821136805</v>
      </c>
      <c r="AX20" s="371">
        <f>'GPI Summary'!AW18/AX$34*1000000000</f>
        <v>2017.518182113681</v>
      </c>
      <c r="AY20" s="371">
        <f>'GPI Summary'!AX18/AY$34*1000000000</f>
        <v>2017.5181821136805</v>
      </c>
      <c r="AZ20" s="371">
        <f>'GPI Summary'!AY18/AZ$34*1000000000</f>
        <v>2017.518182113681</v>
      </c>
      <c r="BA20" s="371">
        <f>'GPI Summary'!AZ18/BA$34*1000000000</f>
        <v>2017.518182113681</v>
      </c>
      <c r="BB20" s="371">
        <f>'GPI Summary'!BA18/BB$34*1000000000</f>
        <v>2017.518182113681</v>
      </c>
    </row>
    <row r="21" spans="1:54" x14ac:dyDescent="0.2">
      <c r="A21" s="7">
        <v>16</v>
      </c>
      <c r="B21" s="7" t="s">
        <v>122</v>
      </c>
      <c r="C21" s="385" t="s">
        <v>1017</v>
      </c>
      <c r="D21" s="371">
        <f>'GPI Summary'!C19/D$34*1000000000</f>
        <v>8171.9759073924479</v>
      </c>
      <c r="E21" s="371">
        <f>'GPI Summary'!D19/E$34*1000000000</f>
        <v>13872.987606012939</v>
      </c>
      <c r="F21" s="371">
        <f>'GPI Summary'!E19/F$34*1000000000</f>
        <v>22869.338241326972</v>
      </c>
      <c r="G21" s="371">
        <f>'GPI Summary'!F19/G$34*1000000000</f>
        <v>7325.0684466477442</v>
      </c>
      <c r="H21" s="371">
        <f>'GPI Summary'!G19/H$34*1000000000</f>
        <v>10783.090329465576</v>
      </c>
      <c r="I21" s="371">
        <f>'GPI Summary'!H19/I$34*1000000000</f>
        <v>4548.306033658253</v>
      </c>
      <c r="J21" s="371">
        <f>'GPI Summary'!I19/J$34*1000000000</f>
        <v>7281.717079577943</v>
      </c>
      <c r="K21" s="371">
        <f>'GPI Summary'!J19/K$34*1000000000</f>
        <v>5953.6579131383905</v>
      </c>
      <c r="L21" s="371">
        <f>'GPI Summary'!K19/L$34*1000000000</f>
        <v>6248.5082361282775</v>
      </c>
      <c r="M21" s="371">
        <f>'GPI Summary'!L19/M$34*1000000000</f>
        <v>5661.4344207240756</v>
      </c>
      <c r="N21" s="371">
        <f>'GPI Summary'!M19/N$34*1000000000</f>
        <v>7390.9343757804563</v>
      </c>
      <c r="O21" s="371">
        <f>'GPI Summary'!N19/O$34*1000000000</f>
        <v>5461.3113570665837</v>
      </c>
      <c r="P21" s="371">
        <f>'GPI Summary'!O19/P$34*1000000000</f>
        <v>4264.2491263405018</v>
      </c>
      <c r="Q21" s="371">
        <f>'GPI Summary'!P19/Q$34*1000000000</f>
        <v>9597.45332671502</v>
      </c>
      <c r="R21" s="371">
        <f>'GPI Summary'!Q19/R$34*1000000000</f>
        <v>12102.620288647857</v>
      </c>
      <c r="S21" s="371">
        <f>'GPI Summary'!R19/S$34*1000000000</f>
        <v>11310.806725969733</v>
      </c>
      <c r="T21" s="371">
        <f>'GPI Summary'!S19/T$34*1000000000</f>
        <v>11054.425912982972</v>
      </c>
      <c r="U21" s="371">
        <f>'GPI Summary'!T19/U$34*1000000000</f>
        <v>12511.486335998916</v>
      </c>
      <c r="V21" s="371">
        <f>'GPI Summary'!U19/V$34*1000000000</f>
        <v>23130.592865450035</v>
      </c>
      <c r="W21" s="371">
        <f>'GPI Summary'!V19/W$34*1000000000</f>
        <v>6322.7116374114294</v>
      </c>
      <c r="X21" s="371">
        <f>'GPI Summary'!W19/X$34*1000000000</f>
        <v>5248.4272705563053</v>
      </c>
      <c r="Y21" s="371">
        <f>'GPI Summary'!X19/Y$34*1000000000</f>
        <v>4905.3021613780575</v>
      </c>
      <c r="Z21" s="371">
        <f>'GPI Summary'!Y19/Z$34*1000000000</f>
        <v>7657.6392893191696</v>
      </c>
      <c r="AA21" s="371">
        <f>'GPI Summary'!Z19/AA$34*1000000000</f>
        <v>7986.3835549847508</v>
      </c>
      <c r="AB21" s="371">
        <f>'GPI Summary'!AA19/AB$34*1000000000</f>
        <v>10289.478847430226</v>
      </c>
      <c r="AC21" s="371">
        <f>'GPI Summary'!AB19/AC$34*1000000000</f>
        <v>8982.0208192244936</v>
      </c>
      <c r="AD21" s="371">
        <f>'GPI Summary'!AC19/AD$34*1000000000</f>
        <v>11983.601352741407</v>
      </c>
      <c r="AE21" s="371">
        <f>'GPI Summary'!AD19/AE$34*1000000000</f>
        <v>12037.93734550597</v>
      </c>
      <c r="AF21" s="371">
        <f>'GPI Summary'!AE19/AF$34*1000000000</f>
        <v>5830.2084560121875</v>
      </c>
      <c r="AG21" s="371">
        <f>'GPI Summary'!AF19/AG$34*1000000000</f>
        <v>7813.5475404295066</v>
      </c>
      <c r="AH21" s="371">
        <f>'GPI Summary'!AG19/AH$34*1000000000</f>
        <v>6901.5874384926346</v>
      </c>
      <c r="AI21" s="371">
        <f>'GPI Summary'!AH19/AI$34*1000000000</f>
        <v>10990.319894177379</v>
      </c>
      <c r="AJ21" s="371">
        <f>'GPI Summary'!AI19/AJ$34*1000000000</f>
        <v>4546.7030382234871</v>
      </c>
      <c r="AK21" s="371">
        <f>'GPI Summary'!AJ19/AK$34*1000000000</f>
        <v>6568.2266483844078</v>
      </c>
      <c r="AL21" s="371">
        <f>'GPI Summary'!AK19/AL$34*1000000000</f>
        <v>27747.048956482606</v>
      </c>
      <c r="AM21" s="371">
        <f>'GPI Summary'!AL19/AM$34*1000000000</f>
        <v>8401.5924035844018</v>
      </c>
      <c r="AN21" s="371">
        <f>'GPI Summary'!AM19/AN$34*1000000000</f>
        <v>12001.28840532402</v>
      </c>
      <c r="AO21" s="371">
        <f>'GPI Summary'!AN19/AO$34*1000000000</f>
        <v>4110.5319994189349</v>
      </c>
      <c r="AP21" s="371">
        <f>'GPI Summary'!AO19/AP$34*1000000000</f>
        <v>9788.4052587286242</v>
      </c>
      <c r="AQ21" s="371">
        <f>'GPI Summary'!AP19/AQ$34*1000000000</f>
        <v>5023.010294705774</v>
      </c>
      <c r="AR21" s="371">
        <f>'GPI Summary'!AQ19/AR$34*1000000000</f>
        <v>10539.419647907258</v>
      </c>
      <c r="AS21" s="371">
        <f>'GPI Summary'!AR19/AS$34*1000000000</f>
        <v>7303.2457618661629</v>
      </c>
      <c r="AT21" s="371">
        <f>'GPI Summary'!AS19/AT$34*1000000000</f>
        <v>7694.4557000955629</v>
      </c>
      <c r="AU21" s="371">
        <f>'GPI Summary'!AT19/AU$34*1000000000</f>
        <v>12819.311218798541</v>
      </c>
      <c r="AV21" s="371">
        <f>'GPI Summary'!AU19/AV$34*1000000000</f>
        <v>8881.339885452142</v>
      </c>
      <c r="AW21" s="371">
        <f>'GPI Summary'!AV19/AW$34*1000000000</f>
        <v>6962.8221049270614</v>
      </c>
      <c r="AX21" s="371">
        <f>'GPI Summary'!AW19/AX$34*1000000000</f>
        <v>6026.5307245272361</v>
      </c>
      <c r="AY21" s="371">
        <f>'GPI Summary'!AX19/AY$34*1000000000</f>
        <v>4301.1525852746445</v>
      </c>
      <c r="AZ21" s="371">
        <f>'GPI Summary'!AY19/AZ$34*1000000000</f>
        <v>18533.382269464029</v>
      </c>
      <c r="BA21" s="371">
        <f>'GPI Summary'!AZ19/BA$34*1000000000</f>
        <v>7529.4220681375491</v>
      </c>
      <c r="BB21" s="371">
        <f>'GPI Summary'!BA19/BB$34*1000000000</f>
        <v>41330.621900314021</v>
      </c>
    </row>
    <row r="22" spans="1:54" x14ac:dyDescent="0.2">
      <c r="A22" s="7">
        <v>17</v>
      </c>
      <c r="B22" s="7" t="s">
        <v>1020</v>
      </c>
      <c r="C22" s="385" t="s">
        <v>1017</v>
      </c>
      <c r="D22" s="371">
        <f>'GPI Summary'!C20/D$34*1000000000</f>
        <v>6864.2202714925015</v>
      </c>
      <c r="E22" s="371">
        <f>'GPI Summary'!D20/E$34*1000000000</f>
        <v>5962.3399193311643</v>
      </c>
      <c r="F22" s="371">
        <f>'GPI Summary'!E20/F$34*1000000000</f>
        <v>7350.4969905119779</v>
      </c>
      <c r="G22" s="371">
        <f>'GPI Summary'!F20/G$34*1000000000</f>
        <v>6212.3370840900743</v>
      </c>
      <c r="H22" s="371">
        <f>'GPI Summary'!G20/H$34*1000000000</f>
        <v>5666.5165842750012</v>
      </c>
      <c r="I22" s="371">
        <f>'GPI Summary'!H20/I$34*1000000000</f>
        <v>7446.8493232838518</v>
      </c>
      <c r="J22" s="371">
        <f>'GPI Summary'!I20/J$34*1000000000</f>
        <v>6833.3454117039992</v>
      </c>
      <c r="K22" s="371">
        <f>'GPI Summary'!J20/K$34*1000000000</f>
        <v>7863.7051054097665</v>
      </c>
      <c r="L22" s="371">
        <f>'GPI Summary'!K20/L$34*1000000000</f>
        <v>6459.2248907510657</v>
      </c>
      <c r="M22" s="371">
        <f>'GPI Summary'!L20/M$34*1000000000</f>
        <v>6433.7465898319606</v>
      </c>
      <c r="N22" s="371">
        <f>'GPI Summary'!M20/N$34*1000000000</f>
        <v>5902.9505004249704</v>
      </c>
      <c r="O22" s="371">
        <f>'GPI Summary'!N20/O$34*1000000000</f>
        <v>9956.2935566583401</v>
      </c>
      <c r="P22" s="371">
        <f>'GPI Summary'!O20/P$34*1000000000</f>
        <v>5919.5614733833263</v>
      </c>
      <c r="Q22" s="371">
        <f>'GPI Summary'!P20/Q$34*1000000000</f>
        <v>7117.0481434018329</v>
      </c>
      <c r="R22" s="371">
        <f>'GPI Summary'!Q20/R$34*1000000000</f>
        <v>6062.5130577830896</v>
      </c>
      <c r="S22" s="371">
        <f>'GPI Summary'!R20/S$34*1000000000</f>
        <v>6483.2810156845553</v>
      </c>
      <c r="T22" s="371">
        <f>'GPI Summary'!S20/T$34*1000000000</f>
        <v>5821.3277087081669</v>
      </c>
      <c r="U22" s="371">
        <f>'GPI Summary'!T20/U$34*1000000000</f>
        <v>6070.2003319582655</v>
      </c>
      <c r="V22" s="371">
        <f>'GPI Summary'!U20/V$34*1000000000</f>
        <v>5882.127792650379</v>
      </c>
      <c r="W22" s="371">
        <f>'GPI Summary'!V20/W$34*1000000000</f>
        <v>6981.8529181299236</v>
      </c>
      <c r="X22" s="371">
        <f>'GPI Summary'!W20/X$34*1000000000</f>
        <v>6955.1815424582492</v>
      </c>
      <c r="Y22" s="371">
        <f>'GPI Summary'!X20/Y$34*1000000000</f>
        <v>8871.2073758616443</v>
      </c>
      <c r="Z22" s="371">
        <f>'GPI Summary'!Y20/Z$34*1000000000</f>
        <v>7177.6860942663534</v>
      </c>
      <c r="AA22" s="371">
        <f>'GPI Summary'!Z20/AA$34*1000000000</f>
        <v>7117.2257396053601</v>
      </c>
      <c r="AB22" s="371">
        <f>'GPI Summary'!AA20/AB$34*1000000000</f>
        <v>5679.0367830400255</v>
      </c>
      <c r="AC22" s="371">
        <f>'GPI Summary'!AB20/AC$34*1000000000</f>
        <v>6193.3522448746753</v>
      </c>
      <c r="AD22" s="371">
        <f>'GPI Summary'!AC20/AD$34*1000000000</f>
        <v>6276.1403009140331</v>
      </c>
      <c r="AE22" s="371">
        <f>'GPI Summary'!AD20/AE$34*1000000000</f>
        <v>6052.6692550457756</v>
      </c>
      <c r="AF22" s="371">
        <f>'GPI Summary'!AE20/AF$34*1000000000</f>
        <v>8641.1894290397013</v>
      </c>
      <c r="AG22" s="371">
        <f>'GPI Summary'!AF20/AG$34*1000000000</f>
        <v>7224.3530705103267</v>
      </c>
      <c r="AH22" s="371">
        <f>'GPI Summary'!AG20/AH$34*1000000000</f>
        <v>7327.134002927748</v>
      </c>
      <c r="AI22" s="371">
        <f>'GPI Summary'!AH20/AI$34*1000000000</f>
        <v>6070.4799321952369</v>
      </c>
      <c r="AJ22" s="371">
        <f>'GPI Summary'!AI20/AJ$34*1000000000</f>
        <v>9664.4206947198636</v>
      </c>
      <c r="AK22" s="371">
        <f>'GPI Summary'!AJ20/AK$34*1000000000</f>
        <v>6136.0201680740529</v>
      </c>
      <c r="AL22" s="371">
        <f>'GPI Summary'!AK20/AL$34*1000000000</f>
        <v>6374.7176289978697</v>
      </c>
      <c r="AM22" s="371">
        <f>'GPI Summary'!AL20/AM$34*1000000000</f>
        <v>6648.2505757762738</v>
      </c>
      <c r="AN22" s="371">
        <f>'GPI Summary'!AM20/AN$34*1000000000</f>
        <v>5838.3557226789644</v>
      </c>
      <c r="AO22" s="371">
        <f>'GPI Summary'!AN20/AO$34*1000000000</f>
        <v>7044.129138586678</v>
      </c>
      <c r="AP22" s="371">
        <f>'GPI Summary'!AO20/AP$34*1000000000</f>
        <v>7027.7446536263342</v>
      </c>
      <c r="AQ22" s="371">
        <f>'GPI Summary'!AP20/AQ$34*1000000000</f>
        <v>7956.8972580755099</v>
      </c>
      <c r="AR22" s="371">
        <f>'GPI Summary'!AQ20/AR$34*1000000000</f>
        <v>6143.1720025086943</v>
      </c>
      <c r="AS22" s="371">
        <f>'GPI Summary'!AR20/AS$34*1000000000</f>
        <v>6048.2576374835644</v>
      </c>
      <c r="AT22" s="371">
        <f>'GPI Summary'!AS20/AT$34*1000000000</f>
        <v>5970.5339579648517</v>
      </c>
      <c r="AU22" s="371">
        <f>'GPI Summary'!AT20/AU$34*1000000000</f>
        <v>5681.5946009878826</v>
      </c>
      <c r="AV22" s="371">
        <f>'GPI Summary'!AU20/AV$34*1000000000</f>
        <v>5653.1332838431081</v>
      </c>
      <c r="AW22" s="371">
        <f>'GPI Summary'!AV20/AW$34*1000000000</f>
        <v>7547.8588435536994</v>
      </c>
      <c r="AX22" s="371">
        <f>'GPI Summary'!AW20/AX$34*1000000000</f>
        <v>6397.0449623961549</v>
      </c>
      <c r="AY22" s="371">
        <f>'GPI Summary'!AX20/AY$34*1000000000</f>
        <v>7486.3465697848269</v>
      </c>
      <c r="AZ22" s="371">
        <f>'GPI Summary'!AY20/AZ$34*1000000000</f>
        <v>6434.7382049654225</v>
      </c>
      <c r="BA22" s="371">
        <f>'GPI Summary'!AZ20/BA$34*1000000000</f>
        <v>6533.5335579360071</v>
      </c>
      <c r="BB22" s="371">
        <f>'GPI Summary'!BA20/BB$34*1000000000</f>
        <v>6256.6852341739577</v>
      </c>
    </row>
    <row r="23" spans="1:54" x14ac:dyDescent="0.2">
      <c r="A23" s="7">
        <v>18</v>
      </c>
      <c r="B23" s="7" t="s">
        <v>123</v>
      </c>
      <c r="C23" s="385" t="s">
        <v>1017</v>
      </c>
      <c r="D23" s="371">
        <f>'GPI Summary'!C21/D$34*1000000000</f>
        <v>216.59188630920326</v>
      </c>
      <c r="E23" s="371">
        <f>'GPI Summary'!D21/E$34*1000000000</f>
        <v>243.48935904673354</v>
      </c>
      <c r="F23" s="371">
        <f>'GPI Summary'!E21/F$34*1000000000</f>
        <v>263.06486551744479</v>
      </c>
      <c r="G23" s="371">
        <f>'GPI Summary'!F21/G$34*1000000000</f>
        <v>208.14230286761395</v>
      </c>
      <c r="H23" s="371">
        <f>'GPI Summary'!G21/H$34*1000000000</f>
        <v>268.06624812330477</v>
      </c>
      <c r="I23" s="371">
        <f>'GPI Summary'!H21/I$34*1000000000</f>
        <v>215.94896171963887</v>
      </c>
      <c r="J23" s="371">
        <f>'GPI Summary'!I21/J$34*1000000000</f>
        <v>234.98039608020144</v>
      </c>
      <c r="K23" s="371">
        <f>'GPI Summary'!J21/K$34*1000000000</f>
        <v>210.17738440114019</v>
      </c>
      <c r="L23" s="371">
        <f>'GPI Summary'!K21/L$34*1000000000</f>
        <v>211.22675407076173</v>
      </c>
      <c r="M23" s="371">
        <f>'GPI Summary'!L21/M$34*1000000000</f>
        <v>223.97378394067837</v>
      </c>
      <c r="N23" s="371">
        <f>'GPI Summary'!M21/N$34*1000000000</f>
        <v>213.70713070008134</v>
      </c>
      <c r="O23" s="371">
        <f>'GPI Summary'!N21/O$34*1000000000</f>
        <v>199.59060140723031</v>
      </c>
      <c r="P23" s="371">
        <f>'GPI Summary'!O21/P$34*1000000000</f>
        <v>250.34040908910671</v>
      </c>
      <c r="Q23" s="371">
        <f>'GPI Summary'!P21/Q$34*1000000000</f>
        <v>197.21871852092676</v>
      </c>
      <c r="R23" s="371">
        <f>'GPI Summary'!Q21/R$34*1000000000</f>
        <v>225.05568699410031</v>
      </c>
      <c r="S23" s="371">
        <f>'GPI Summary'!R21/S$34*1000000000</f>
        <v>191.75972387654664</v>
      </c>
      <c r="T23" s="371">
        <f>'GPI Summary'!S21/T$34*1000000000</f>
        <v>235.92784647635401</v>
      </c>
      <c r="U23" s="371">
        <f>'GPI Summary'!T21/U$34*1000000000</f>
        <v>225.49143074156353</v>
      </c>
      <c r="V23" s="371">
        <f>'GPI Summary'!U21/V$34*1000000000</f>
        <v>232.71127172573361</v>
      </c>
      <c r="W23" s="371">
        <f>'GPI Summary'!V21/W$34*1000000000</f>
        <v>242.34459351828656</v>
      </c>
      <c r="X23" s="371">
        <f>'GPI Summary'!W21/X$34*1000000000</f>
        <v>200.9015867579258</v>
      </c>
      <c r="Y23" s="371">
        <f>'GPI Summary'!X21/Y$34*1000000000</f>
        <v>195.29341429890815</v>
      </c>
      <c r="Z23" s="371">
        <f>'GPI Summary'!Y21/Z$34*1000000000</f>
        <v>227.33491491713519</v>
      </c>
      <c r="AA23" s="371">
        <f>'GPI Summary'!Z21/AA$34*1000000000</f>
        <v>224.30288017196963</v>
      </c>
      <c r="AB23" s="371">
        <f>'GPI Summary'!AA21/AB$34*1000000000</f>
        <v>240.64907151480546</v>
      </c>
      <c r="AC23" s="371">
        <f>'GPI Summary'!AB21/AC$34*1000000000</f>
        <v>231.92751349779638</v>
      </c>
      <c r="AD23" s="371">
        <f>'GPI Summary'!AC21/AD$34*1000000000</f>
        <v>230.04907210811541</v>
      </c>
      <c r="AE23" s="371">
        <f>'GPI Summary'!AD21/AE$34*1000000000</f>
        <v>222.60155856131263</v>
      </c>
      <c r="AF23" s="371">
        <f>'GPI Summary'!AE21/AF$34*1000000000</f>
        <v>248.74530972165246</v>
      </c>
      <c r="AG23" s="371">
        <f>'GPI Summary'!AF21/AG$34*1000000000</f>
        <v>233.13181128130194</v>
      </c>
      <c r="AH23" s="371">
        <f>'GPI Summary'!AG21/AH$34*1000000000</f>
        <v>203.75429023285463</v>
      </c>
      <c r="AI23" s="371">
        <f>'GPI Summary'!AH21/AI$34*1000000000</f>
        <v>211.66553589682582</v>
      </c>
      <c r="AJ23" s="371">
        <f>'GPI Summary'!AI21/AJ$34*1000000000</f>
        <v>201.99093052762817</v>
      </c>
      <c r="AK23" s="371">
        <f>'GPI Summary'!AJ21/AK$34*1000000000</f>
        <v>212.26561913415219</v>
      </c>
      <c r="AL23" s="371">
        <f>'GPI Summary'!AK21/AL$34*1000000000</f>
        <v>199.69808168462691</v>
      </c>
      <c r="AM23" s="371">
        <f>'GPI Summary'!AL21/AM$34*1000000000</f>
        <v>224.09942144810665</v>
      </c>
      <c r="AN23" s="371">
        <f>'GPI Summary'!AM21/AN$34*1000000000</f>
        <v>266.38416638300851</v>
      </c>
      <c r="AO23" s="371">
        <f>'GPI Summary'!AN21/AO$34*1000000000</f>
        <v>218.2645274949644</v>
      </c>
      <c r="AP23" s="371">
        <f>'GPI Summary'!AO21/AP$34*1000000000</f>
        <v>196.93480308273411</v>
      </c>
      <c r="AQ23" s="371">
        <f>'GPI Summary'!AP21/AQ$34*1000000000</f>
        <v>215.02301215497809</v>
      </c>
      <c r="AR23" s="371">
        <f>'GPI Summary'!AQ21/AR$34*1000000000</f>
        <v>201.36464273062882</v>
      </c>
      <c r="AS23" s="371">
        <f>'GPI Summary'!AR21/AS$34*1000000000</f>
        <v>214.31837312000184</v>
      </c>
      <c r="AT23" s="371">
        <f>'GPI Summary'!AS21/AT$34*1000000000</f>
        <v>236.73870470887775</v>
      </c>
      <c r="AU23" s="371">
        <f>'GPI Summary'!AT21/AU$34*1000000000</f>
        <v>201.65051371213525</v>
      </c>
      <c r="AV23" s="371">
        <f>'GPI Summary'!AU21/AV$34*1000000000</f>
        <v>215.81287532809554</v>
      </c>
      <c r="AW23" s="371">
        <f>'GPI Summary'!AV21/AW$34*1000000000</f>
        <v>229.4195082805206</v>
      </c>
      <c r="AX23" s="371">
        <f>'GPI Summary'!AW21/AX$34*1000000000</f>
        <v>221.0426242518871</v>
      </c>
      <c r="AY23" s="371">
        <f>'GPI Summary'!AX21/AY$34*1000000000</f>
        <v>229.37483142507145</v>
      </c>
      <c r="AZ23" s="371">
        <f>'GPI Summary'!AY21/AZ$34*1000000000</f>
        <v>266.35364816055062</v>
      </c>
      <c r="BA23" s="371">
        <f>'GPI Summary'!AZ21/BA$34*1000000000</f>
        <v>204.20604563616993</v>
      </c>
      <c r="BB23" s="371">
        <f>'GPI Summary'!BA21/BB$34*1000000000</f>
        <v>251.67227684556872</v>
      </c>
    </row>
    <row r="24" spans="1:54" x14ac:dyDescent="0.2">
      <c r="A24" s="7">
        <v>19</v>
      </c>
      <c r="B24" s="7" t="s">
        <v>124</v>
      </c>
      <c r="C24" s="385" t="s">
        <v>1017</v>
      </c>
      <c r="D24" s="371">
        <f>'GPI Summary'!C22/D$34*1000000000</f>
        <v>249.80055984261332</v>
      </c>
      <c r="E24" s="371">
        <f>'GPI Summary'!D22/E$34*1000000000</f>
        <v>310.09080081901635</v>
      </c>
      <c r="F24" s="371">
        <f>'GPI Summary'!E22/F$34*1000000000</f>
        <v>292.41563523333247</v>
      </c>
      <c r="G24" s="371">
        <f>'GPI Summary'!F22/G$34*1000000000</f>
        <v>319.07539001721733</v>
      </c>
      <c r="H24" s="371">
        <f>'GPI Summary'!G22/H$34*1000000000</f>
        <v>311.15493672812266</v>
      </c>
      <c r="I24" s="371">
        <f>'GPI Summary'!H22/I$34*1000000000</f>
        <v>252.43330933715441</v>
      </c>
      <c r="J24" s="371">
        <f>'GPI Summary'!I22/J$34*1000000000</f>
        <v>208.32690048077691</v>
      </c>
      <c r="K24" s="371">
        <f>'GPI Summary'!J22/K$34*1000000000</f>
        <v>185.8507741678811</v>
      </c>
      <c r="L24" s="371">
        <f>'GPI Summary'!K22/L$34*1000000000</f>
        <v>297.76651508836227</v>
      </c>
      <c r="M24" s="371">
        <f>'GPI Summary'!L22/M$34*1000000000</f>
        <v>284.44666828376018</v>
      </c>
      <c r="N24" s="371">
        <f>'GPI Summary'!M22/N$34*1000000000</f>
        <v>279.79963962533355</v>
      </c>
      <c r="O24" s="371">
        <f>'GPI Summary'!N22/O$34*1000000000</f>
        <v>141.25228972853776</v>
      </c>
      <c r="P24" s="371">
        <f>'GPI Summary'!O22/P$34*1000000000</f>
        <v>142.2537521918315</v>
      </c>
      <c r="Q24" s="371">
        <f>'GPI Summary'!P22/Q$34*1000000000</f>
        <v>288.48356998463896</v>
      </c>
      <c r="R24" s="371">
        <f>'GPI Summary'!Q22/R$34*1000000000</f>
        <v>245.97589370420849</v>
      </c>
      <c r="S24" s="371">
        <f>'GPI Summary'!R22/S$34*1000000000</f>
        <v>131.65130041033296</v>
      </c>
      <c r="T24" s="371">
        <f>'GPI Summary'!S22/T$34*1000000000</f>
        <v>237.46879730952563</v>
      </c>
      <c r="U24" s="371">
        <f>'GPI Summary'!T22/U$34*1000000000</f>
        <v>200.80193644769389</v>
      </c>
      <c r="V24" s="371">
        <f>'GPI Summary'!U22/V$34*1000000000</f>
        <v>467.16397857499169</v>
      </c>
      <c r="W24" s="371">
        <f>'GPI Summary'!V22/W$34*1000000000</f>
        <v>130.88501753024363</v>
      </c>
      <c r="X24" s="371">
        <f>'GPI Summary'!W22/X$34*1000000000</f>
        <v>318.9589863701313</v>
      </c>
      <c r="Y24" s="371">
        <f>'GPI Summary'!X22/Y$34*1000000000</f>
        <v>188.08127494936809</v>
      </c>
      <c r="Z24" s="371">
        <f>'GPI Summary'!Y22/Z$34*1000000000</f>
        <v>322.82518650167196</v>
      </c>
      <c r="AA24" s="371">
        <f>'GPI Summary'!Z22/AA$34*1000000000</f>
        <v>140.04946230925185</v>
      </c>
      <c r="AB24" s="371">
        <f>'GPI Summary'!AA22/AB$34*1000000000</f>
        <v>333.18600929188904</v>
      </c>
      <c r="AC24" s="371">
        <f>'GPI Summary'!AB22/AC$34*1000000000</f>
        <v>300.3102287612183</v>
      </c>
      <c r="AD24" s="371">
        <f>'GPI Summary'!AC22/AD$34*1000000000</f>
        <v>184.76462526163533</v>
      </c>
      <c r="AE24" s="371">
        <f>'GPI Summary'!AD22/AE$34*1000000000</f>
        <v>213.71610224645727</v>
      </c>
      <c r="AF24" s="371">
        <f>'GPI Summary'!AE22/AF$34*1000000000</f>
        <v>297.20480700650876</v>
      </c>
      <c r="AG24" s="371">
        <f>'GPI Summary'!AF22/AG$34*1000000000</f>
        <v>134.75508040069602</v>
      </c>
      <c r="AH24" s="371">
        <f>'GPI Summary'!AG22/AH$34*1000000000</f>
        <v>202.41785801591055</v>
      </c>
      <c r="AI24" s="371">
        <f>'GPI Summary'!AH22/AI$34*1000000000</f>
        <v>385.78328107250104</v>
      </c>
      <c r="AJ24" s="371">
        <f>'GPI Summary'!AI22/AJ$34*1000000000</f>
        <v>197.1175543723453</v>
      </c>
      <c r="AK24" s="371">
        <f>'GPI Summary'!AJ22/AK$34*1000000000</f>
        <v>257.67218038348574</v>
      </c>
      <c r="AL24" s="371">
        <f>'GPI Summary'!AK22/AL$34*1000000000</f>
        <v>200.08572620702751</v>
      </c>
      <c r="AM24" s="371">
        <f>'GPI Summary'!AL22/AM$34*1000000000</f>
        <v>238.22585211657002</v>
      </c>
      <c r="AN24" s="371">
        <f>'GPI Summary'!AM22/AN$34*1000000000</f>
        <v>307.74440774377319</v>
      </c>
      <c r="AO24" s="371">
        <f>'GPI Summary'!AN22/AO$34*1000000000</f>
        <v>164.41429405216186</v>
      </c>
      <c r="AP24" s="371">
        <f>'GPI Summary'!AO22/AP$34*1000000000</f>
        <v>243.95370190423719</v>
      </c>
      <c r="AQ24" s="371">
        <f>'GPI Summary'!AP22/AQ$34*1000000000</f>
        <v>153.13422244990221</v>
      </c>
      <c r="AR24" s="371">
        <f>'GPI Summary'!AQ22/AR$34*1000000000</f>
        <v>362.95054624089619</v>
      </c>
      <c r="AS24" s="371">
        <f>'GPI Summary'!AR22/AS$34*1000000000</f>
        <v>192.51795091629</v>
      </c>
      <c r="AT24" s="371">
        <f>'GPI Summary'!AS22/AT$34*1000000000</f>
        <v>327.54292970709815</v>
      </c>
      <c r="AU24" s="371">
        <f>'GPI Summary'!AT22/AU$34*1000000000</f>
        <v>252.8249636150758</v>
      </c>
      <c r="AV24" s="371">
        <f>'GPI Summary'!AU22/AV$34*1000000000</f>
        <v>144.16487737521348</v>
      </c>
      <c r="AW24" s="371">
        <f>'GPI Summary'!AV22/AW$34*1000000000</f>
        <v>120.72043076100556</v>
      </c>
      <c r="AX24" s="371">
        <f>'GPI Summary'!AW22/AX$34*1000000000</f>
        <v>178.36221095436738</v>
      </c>
      <c r="AY24" s="371">
        <f>'GPI Summary'!AX22/AY$34*1000000000</f>
        <v>191.29735146325069</v>
      </c>
      <c r="AZ24" s="371">
        <f>'GPI Summary'!AY22/AZ$34*1000000000</f>
        <v>221.02478120251783</v>
      </c>
      <c r="BA24" s="371">
        <f>'GPI Summary'!AZ22/BA$34*1000000000</f>
        <v>149.83151274711057</v>
      </c>
      <c r="BB24" s="371">
        <f>'GPI Summary'!BA22/BB$34*1000000000</f>
        <v>169.82532387037418</v>
      </c>
    </row>
    <row r="25" spans="1:54" x14ac:dyDescent="0.2">
      <c r="A25" s="7">
        <v>20</v>
      </c>
      <c r="B25" s="7" t="s">
        <v>125</v>
      </c>
      <c r="C25" s="385" t="s">
        <v>1017</v>
      </c>
      <c r="D25" s="371">
        <f>'GPI Summary'!C23/D$34*1000000000</f>
        <v>238.82690093621923</v>
      </c>
      <c r="E25" s="371">
        <f>'GPI Summary'!D23/E$34*1000000000</f>
        <v>212.75164468643382</v>
      </c>
      <c r="F25" s="371">
        <f>'GPI Summary'!E23/F$34*1000000000</f>
        <v>227.1283127845885</v>
      </c>
      <c r="G25" s="371">
        <f>'GPI Summary'!F23/G$34*1000000000</f>
        <v>268.58625831087841</v>
      </c>
      <c r="H25" s="371">
        <f>'GPI Summary'!G23/H$34*1000000000</f>
        <v>234.99466062475958</v>
      </c>
      <c r="I25" s="371">
        <f>'GPI Summary'!H23/I$34*1000000000</f>
        <v>225.66841318051613</v>
      </c>
      <c r="J25" s="371">
        <f>'GPI Summary'!I23/J$34*1000000000</f>
        <v>262.41711175262117</v>
      </c>
      <c r="K25" s="371">
        <f>'GPI Summary'!J23/K$34*1000000000</f>
        <v>213.64811349941161</v>
      </c>
      <c r="L25" s="371">
        <f>'GPI Summary'!K23/L$34*1000000000</f>
        <v>265.75524169458885</v>
      </c>
      <c r="M25" s="371">
        <f>'GPI Summary'!L23/M$34*1000000000</f>
        <v>258.70604553750439</v>
      </c>
      <c r="N25" s="371">
        <f>'GPI Summary'!M23/N$34*1000000000</f>
        <v>205.67066665046886</v>
      </c>
      <c r="O25" s="371">
        <f>'GPI Summary'!N23/O$34*1000000000</f>
        <v>249.64194688996389</v>
      </c>
      <c r="P25" s="371">
        <f>'GPI Summary'!O23/P$34*1000000000</f>
        <v>247.63066229325389</v>
      </c>
      <c r="Q25" s="371">
        <f>'GPI Summary'!P23/Q$34*1000000000</f>
        <v>249.81169135485459</v>
      </c>
      <c r="R25" s="371">
        <f>'GPI Summary'!Q23/R$34*1000000000</f>
        <v>232.65318250262837</v>
      </c>
      <c r="S25" s="371">
        <f>'GPI Summary'!R23/S$34*1000000000</f>
        <v>251.15223493222857</v>
      </c>
      <c r="T25" s="371">
        <f>'GPI Summary'!S23/T$34*1000000000</f>
        <v>246.87677887080943</v>
      </c>
      <c r="U25" s="371">
        <f>'GPI Summary'!T23/U$34*1000000000</f>
        <v>210.3911267787507</v>
      </c>
      <c r="V25" s="371">
        <f>'GPI Summary'!U23/V$34*1000000000</f>
        <v>233.98904923029284</v>
      </c>
      <c r="W25" s="371">
        <f>'GPI Summary'!V23/W$34*1000000000</f>
        <v>227.80052694644166</v>
      </c>
      <c r="X25" s="371">
        <f>'GPI Summary'!W23/X$34*1000000000</f>
        <v>220.18176708232377</v>
      </c>
      <c r="Y25" s="371">
        <f>'GPI Summary'!X23/Y$34*1000000000</f>
        <v>239.27345446632751</v>
      </c>
      <c r="Z25" s="371">
        <f>'GPI Summary'!Y23/Z$34*1000000000</f>
        <v>235.38732843537102</v>
      </c>
      <c r="AA25" s="371">
        <f>'GPI Summary'!Z23/AA$34*1000000000</f>
        <v>238.18912050345187</v>
      </c>
      <c r="AB25" s="371">
        <f>'GPI Summary'!AA23/AB$34*1000000000</f>
        <v>204.27957150576881</v>
      </c>
      <c r="AC25" s="371">
        <f>'GPI Summary'!AB23/AC$34*1000000000</f>
        <v>241.1328891158056</v>
      </c>
      <c r="AD25" s="371">
        <f>'GPI Summary'!AC23/AD$34*1000000000</f>
        <v>284.97927750165491</v>
      </c>
      <c r="AE25" s="371">
        <f>'GPI Summary'!AD23/AE$34*1000000000</f>
        <v>258.17836200775542</v>
      </c>
      <c r="AF25" s="371">
        <f>'GPI Summary'!AE23/AF$34*1000000000</f>
        <v>302.11821169206661</v>
      </c>
      <c r="AG25" s="371">
        <f>'GPI Summary'!AF23/AG$34*1000000000</f>
        <v>212.50718973058909</v>
      </c>
      <c r="AH25" s="371">
        <f>'GPI Summary'!AG23/AH$34*1000000000</f>
        <v>269.2339250816587</v>
      </c>
      <c r="AI25" s="371">
        <f>'GPI Summary'!AH23/AI$34*1000000000</f>
        <v>199.17374490729006</v>
      </c>
      <c r="AJ25" s="371">
        <f>'GPI Summary'!AI23/AJ$34*1000000000</f>
        <v>252.02878150865021</v>
      </c>
      <c r="AK25" s="371">
        <f>'GPI Summary'!AJ23/AK$34*1000000000</f>
        <v>206.49710411917931</v>
      </c>
      <c r="AL25" s="371">
        <f>'GPI Summary'!AK23/AL$34*1000000000</f>
        <v>264.35451186849451</v>
      </c>
      <c r="AM25" s="371">
        <f>'GPI Summary'!AL23/AM$34*1000000000</f>
        <v>251.00719596446879</v>
      </c>
      <c r="AN25" s="371">
        <f>'GPI Summary'!AM23/AN$34*1000000000</f>
        <v>242.80063568662041</v>
      </c>
      <c r="AO25" s="371">
        <f>'GPI Summary'!AN23/AO$34*1000000000</f>
        <v>233.76737309230629</v>
      </c>
      <c r="AP25" s="371">
        <f>'GPI Summary'!AO23/AP$34*1000000000</f>
        <v>239.66468067874263</v>
      </c>
      <c r="AQ25" s="371">
        <f>'GPI Summary'!AP23/AQ$34*1000000000</f>
        <v>251.3425213781311</v>
      </c>
      <c r="AR25" s="371">
        <f>'GPI Summary'!AQ23/AR$34*1000000000</f>
        <v>225.64503358102687</v>
      </c>
      <c r="AS25" s="371">
        <f>'GPI Summary'!AR23/AS$34*1000000000</f>
        <v>254.04761992038331</v>
      </c>
      <c r="AT25" s="371">
        <f>'GPI Summary'!AS23/AT$34*1000000000</f>
        <v>220.06178997532416</v>
      </c>
      <c r="AU25" s="371">
        <f>'GPI Summary'!AT23/AU$34*1000000000</f>
        <v>248.8601274267489</v>
      </c>
      <c r="AV25" s="371">
        <f>'GPI Summary'!AU23/AV$34*1000000000</f>
        <v>186.80953731673927</v>
      </c>
      <c r="AW25" s="371">
        <f>'GPI Summary'!AV23/AW$34*1000000000</f>
        <v>212.73368106489067</v>
      </c>
      <c r="AX25" s="371">
        <f>'GPI Summary'!AW23/AX$34*1000000000</f>
        <v>238.22801659985774</v>
      </c>
      <c r="AY25" s="371">
        <f>'GPI Summary'!AX23/AY$34*1000000000</f>
        <v>249.64852061326189</v>
      </c>
      <c r="AZ25" s="371">
        <f>'GPI Summary'!AY23/AZ$34*1000000000</f>
        <v>210.57047798267459</v>
      </c>
      <c r="BA25" s="371">
        <f>'GPI Summary'!AZ23/BA$34*1000000000</f>
        <v>245.8039943981683</v>
      </c>
      <c r="BB25" s="371">
        <f>'GPI Summary'!BA23/BB$34*1000000000</f>
        <v>295.647652395862</v>
      </c>
    </row>
    <row r="26" spans="1:54" x14ac:dyDescent="0.2">
      <c r="A26" s="7">
        <v>21</v>
      </c>
      <c r="B26" s="7" t="s">
        <v>1021</v>
      </c>
      <c r="C26" s="385" t="s">
        <v>1017</v>
      </c>
      <c r="D26" s="371">
        <f>'GPI Summary'!C24/D$34*1000000000</f>
        <v>569.05131109365198</v>
      </c>
      <c r="E26" s="371">
        <f>'GPI Summary'!D24/E$34*1000000000</f>
        <v>496.963970785105</v>
      </c>
      <c r="F26" s="371">
        <f>'GPI Summary'!E24/F$34*1000000000</f>
        <v>634.51953354771115</v>
      </c>
      <c r="G26" s="371">
        <f>'GPI Summary'!F24/G$34*1000000000</f>
        <v>542.90384387693814</v>
      </c>
      <c r="H26" s="371">
        <f>'GPI Summary'!G24/H$34*1000000000</f>
        <v>455.51210507345445</v>
      </c>
      <c r="I26" s="371">
        <f>'GPI Summary'!H24/I$34*1000000000</f>
        <v>650.85979456502616</v>
      </c>
      <c r="J26" s="371">
        <f>'GPI Summary'!I24/J$34*1000000000</f>
        <v>596.59827866565615</v>
      </c>
      <c r="K26" s="371">
        <f>'GPI Summary'!J24/K$34*1000000000</f>
        <v>678.90139587233637</v>
      </c>
      <c r="L26" s="371">
        <f>'GPI Summary'!K24/L$34*1000000000</f>
        <v>606.52720702361853</v>
      </c>
      <c r="M26" s="371">
        <f>'GPI Summary'!L24/M$34*1000000000</f>
        <v>530.27529488876701</v>
      </c>
      <c r="N26" s="371">
        <f>'GPI Summary'!M24/N$34*1000000000</f>
        <v>527.70471952678417</v>
      </c>
      <c r="O26" s="371">
        <f>'GPI Summary'!N24/O$34*1000000000</f>
        <v>572.20979503035267</v>
      </c>
      <c r="P26" s="371">
        <f>'GPI Summary'!O24/P$34*1000000000</f>
        <v>467.70594416070156</v>
      </c>
      <c r="Q26" s="371">
        <f>'GPI Summary'!P24/Q$34*1000000000</f>
        <v>586.559233507111</v>
      </c>
      <c r="R26" s="371">
        <f>'GPI Summary'!Q24/R$34*1000000000</f>
        <v>497.45488992639577</v>
      </c>
      <c r="S26" s="371">
        <f>'GPI Summary'!R24/S$34*1000000000</f>
        <v>490.66299631920674</v>
      </c>
      <c r="T26" s="371">
        <f>'GPI Summary'!S24/T$34*1000000000</f>
        <v>496.85609623952223</v>
      </c>
      <c r="U26" s="371">
        <f>'GPI Summary'!T24/U$34*1000000000</f>
        <v>489.06732750520354</v>
      </c>
      <c r="V26" s="371">
        <f>'GPI Summary'!U24/V$34*1000000000</f>
        <v>485.27285743139646</v>
      </c>
      <c r="W26" s="371">
        <f>'GPI Summary'!V24/W$34*1000000000</f>
        <v>526.92332943201222</v>
      </c>
      <c r="X26" s="371">
        <f>'GPI Summary'!W24/X$34*1000000000</f>
        <v>660.26456724070908</v>
      </c>
      <c r="Y26" s="371">
        <f>'GPI Summary'!X24/Y$34*1000000000</f>
        <v>711.1390390921631</v>
      </c>
      <c r="Z26" s="371">
        <f>'GPI Summary'!Y24/Z$34*1000000000</f>
        <v>556.90481962382205</v>
      </c>
      <c r="AA26" s="371">
        <f>'GPI Summary'!Z24/AA$34*1000000000</f>
        <v>581.53349331714026</v>
      </c>
      <c r="AB26" s="371">
        <f>'GPI Summary'!AA24/AB$34*1000000000</f>
        <v>431.24092713694432</v>
      </c>
      <c r="AC26" s="371">
        <f>'GPI Summary'!AB24/AC$34*1000000000</f>
        <v>512.82069072853767</v>
      </c>
      <c r="AD26" s="371">
        <f>'GPI Summary'!AC24/AD$34*1000000000</f>
        <v>472.71240585632427</v>
      </c>
      <c r="AE26" s="371">
        <f>'GPI Summary'!AD24/AE$34*1000000000</f>
        <v>486.44824734273305</v>
      </c>
      <c r="AF26" s="371">
        <f>'GPI Summary'!AE24/AF$34*1000000000</f>
        <v>524.82978217963205</v>
      </c>
      <c r="AG26" s="371">
        <f>'GPI Summary'!AF24/AG$34*1000000000</f>
        <v>588.31610715100635</v>
      </c>
      <c r="AH26" s="371">
        <f>'GPI Summary'!AG24/AH$34*1000000000</f>
        <v>656.3049965403751</v>
      </c>
      <c r="AI26" s="371">
        <f>'GPI Summary'!AH24/AI$34*1000000000</f>
        <v>507.3439878693747</v>
      </c>
      <c r="AJ26" s="371">
        <f>'GPI Summary'!AI24/AJ$34*1000000000</f>
        <v>680.90331257626985</v>
      </c>
      <c r="AK26" s="371">
        <f>'GPI Summary'!AJ24/AK$34*1000000000</f>
        <v>519.73218302293844</v>
      </c>
      <c r="AL26" s="371">
        <f>'GPI Summary'!AK24/AL$34*1000000000</f>
        <v>497.97133682127537</v>
      </c>
      <c r="AM26" s="371">
        <f>'GPI Summary'!AL24/AM$34*1000000000</f>
        <v>528.14930771247327</v>
      </c>
      <c r="AN26" s="371">
        <f>'GPI Summary'!AM24/AN$34*1000000000</f>
        <v>475.94157814117995</v>
      </c>
      <c r="AO26" s="371">
        <f>'GPI Summary'!AN24/AO$34*1000000000</f>
        <v>567.24953450684177</v>
      </c>
      <c r="AP26" s="371">
        <f>'GPI Summary'!AO24/AP$34*1000000000</f>
        <v>570.2540382467231</v>
      </c>
      <c r="AQ26" s="371">
        <f>'GPI Summary'!AP24/AQ$34*1000000000</f>
        <v>618.35045715601132</v>
      </c>
      <c r="AR26" s="371">
        <f>'GPI Summary'!AQ24/AR$34*1000000000</f>
        <v>489.06356882606525</v>
      </c>
      <c r="AS26" s="371">
        <f>'GPI Summary'!AR24/AS$34*1000000000</f>
        <v>442.40635382392014</v>
      </c>
      <c r="AT26" s="371">
        <f>'GPI Summary'!AS24/AT$34*1000000000</f>
        <v>496.45280169382983</v>
      </c>
      <c r="AU26" s="371">
        <f>'GPI Summary'!AT24/AU$34*1000000000</f>
        <v>523.18005306742282</v>
      </c>
      <c r="AV26" s="371">
        <f>'GPI Summary'!AU24/AV$34*1000000000</f>
        <v>471.75890108789008</v>
      </c>
      <c r="AW26" s="371">
        <f>'GPI Summary'!AV24/AW$34*1000000000</f>
        <v>567.18888800294042</v>
      </c>
      <c r="AX26" s="371">
        <f>'GPI Summary'!AW24/AX$34*1000000000</f>
        <v>622.31781845942896</v>
      </c>
      <c r="AY26" s="371">
        <f>'GPI Summary'!AX24/AY$34*1000000000</f>
        <v>638.31744352082376</v>
      </c>
      <c r="AZ26" s="371">
        <f>'GPI Summary'!AY24/AZ$34*1000000000</f>
        <v>471.39954442380815</v>
      </c>
      <c r="BA26" s="371">
        <f>'GPI Summary'!AZ24/BA$34*1000000000</f>
        <v>526.49675278708014</v>
      </c>
      <c r="BB26" s="371">
        <f>'GPI Summary'!BA24/BB$34*1000000000</f>
        <v>534.52037489468694</v>
      </c>
    </row>
    <row r="27" spans="1:54" x14ac:dyDescent="0.2">
      <c r="A27" s="7">
        <v>22</v>
      </c>
      <c r="B27" s="7" t="s">
        <v>126</v>
      </c>
      <c r="C27" s="385" t="s">
        <v>1017</v>
      </c>
      <c r="D27" s="371">
        <f>'GPI Summary'!C25/D$34*1000000000</f>
        <v>2215.9450329050328</v>
      </c>
      <c r="E27" s="371">
        <f>'GPI Summary'!D25/E$34*1000000000</f>
        <v>1765.7104716424508</v>
      </c>
      <c r="F27" s="371">
        <f>'GPI Summary'!E25/F$34*1000000000</f>
        <v>2654.1704260794295</v>
      </c>
      <c r="G27" s="371">
        <f>'GPI Summary'!F25/G$34*1000000000</f>
        <v>1991.4985636392175</v>
      </c>
      <c r="H27" s="371">
        <f>'GPI Summary'!G25/H$34*1000000000</f>
        <v>1696.2951238021201</v>
      </c>
      <c r="I27" s="371">
        <f>'GPI Summary'!H25/I$34*1000000000</f>
        <v>2361.6891932141225</v>
      </c>
      <c r="J27" s="371">
        <f>'GPI Summary'!I25/J$34*1000000000</f>
        <v>2535.3324117554807</v>
      </c>
      <c r="K27" s="371">
        <f>'GPI Summary'!J25/K$34*1000000000</f>
        <v>2803.7702508633993</v>
      </c>
      <c r="L27" s="371">
        <f>'GPI Summary'!K25/L$34*1000000000</f>
        <v>2341.9175891716441</v>
      </c>
      <c r="M27" s="371">
        <f>'GPI Summary'!L25/M$34*1000000000</f>
        <v>1924.1658768735776</v>
      </c>
      <c r="N27" s="371">
        <f>'GPI Summary'!M25/N$34*1000000000</f>
        <v>2015.8786035776973</v>
      </c>
      <c r="O27" s="371">
        <f>'GPI Summary'!N25/O$34*1000000000</f>
        <v>2128.0383308409032</v>
      </c>
      <c r="P27" s="371">
        <f>'GPI Summary'!O25/P$34*1000000000</f>
        <v>1844.117157312978</v>
      </c>
      <c r="Q27" s="371">
        <f>'GPI Summary'!P25/Q$34*1000000000</f>
        <v>2330.7619772710314</v>
      </c>
      <c r="R27" s="371">
        <f>'GPI Summary'!Q25/R$34*1000000000</f>
        <v>1920.8837795268907</v>
      </c>
      <c r="S27" s="371">
        <f>'GPI Summary'!R25/S$34*1000000000</f>
        <v>2208.7520211965893</v>
      </c>
      <c r="T27" s="371">
        <f>'GPI Summary'!S25/T$34*1000000000</f>
        <v>2165.0867828858386</v>
      </c>
      <c r="U27" s="371">
        <f>'GPI Summary'!T25/U$34*1000000000</f>
        <v>1828.9849712648663</v>
      </c>
      <c r="V27" s="371">
        <f>'GPI Summary'!U25/V$34*1000000000</f>
        <v>1789.5410036132439</v>
      </c>
      <c r="W27" s="371">
        <f>'GPI Summary'!V25/W$34*1000000000</f>
        <v>2136.9129429231534</v>
      </c>
      <c r="X27" s="371">
        <f>'GPI Summary'!W25/X$34*1000000000</f>
        <v>2835.9268366941337</v>
      </c>
      <c r="Y27" s="371">
        <f>'GPI Summary'!X25/Y$34*1000000000</f>
        <v>2903.3672380070125</v>
      </c>
      <c r="Z27" s="371">
        <f>'GPI Summary'!Y25/Z$34*1000000000</f>
        <v>1983.5271462915043</v>
      </c>
      <c r="AA27" s="371">
        <f>'GPI Summary'!Z25/AA$34*1000000000</f>
        <v>2634.9498637856232</v>
      </c>
      <c r="AB27" s="371">
        <f>'GPI Summary'!AA25/AB$34*1000000000</f>
        <v>1531.4722500758778</v>
      </c>
      <c r="AC27" s="371">
        <f>'GPI Summary'!AB25/AC$34*1000000000</f>
        <v>2053.2385700324203</v>
      </c>
      <c r="AD27" s="371">
        <f>'GPI Summary'!AC25/AD$34*1000000000</f>
        <v>1843.2089646934296</v>
      </c>
      <c r="AE27" s="371">
        <f>'GPI Summary'!AD25/AE$34*1000000000</f>
        <v>2293.8366477667082</v>
      </c>
      <c r="AF27" s="371">
        <f>'GPI Summary'!AE25/AF$34*1000000000</f>
        <v>1954.1903182231581</v>
      </c>
      <c r="AG27" s="371">
        <f>'GPI Summary'!AF25/AG$34*1000000000</f>
        <v>2651.813147745424</v>
      </c>
      <c r="AH27" s="371">
        <f>'GPI Summary'!AG25/AH$34*1000000000</f>
        <v>2622.3540032612045</v>
      </c>
      <c r="AI27" s="371">
        <f>'GPI Summary'!AH25/AI$34*1000000000</f>
        <v>1824.6075397352349</v>
      </c>
      <c r="AJ27" s="371">
        <f>'GPI Summary'!AI25/AJ$34*1000000000</f>
        <v>2612.5291190289058</v>
      </c>
      <c r="AK27" s="371">
        <f>'GPI Summary'!AJ25/AK$34*1000000000</f>
        <v>1928.922120807408</v>
      </c>
      <c r="AL27" s="371">
        <f>'GPI Summary'!AK25/AL$34*1000000000</f>
        <v>2406.3509565850181</v>
      </c>
      <c r="AM27" s="371">
        <f>'GPI Summary'!AL25/AM$34*1000000000</f>
        <v>2099.322139222917</v>
      </c>
      <c r="AN27" s="371">
        <f>'GPI Summary'!AM25/AN$34*1000000000</f>
        <v>1889.4602253530775</v>
      </c>
      <c r="AO27" s="371">
        <f>'GPI Summary'!AN25/AO$34*1000000000</f>
        <v>2192.4467141988684</v>
      </c>
      <c r="AP27" s="371">
        <f>'GPI Summary'!AO25/AP$34*1000000000</f>
        <v>2247.1030867433115</v>
      </c>
      <c r="AQ27" s="371">
        <f>'GPI Summary'!AP25/AQ$34*1000000000</f>
        <v>2436.7795782097869</v>
      </c>
      <c r="AR27" s="371">
        <f>'GPI Summary'!AQ25/AR$34*1000000000</f>
        <v>1735.4582215266857</v>
      </c>
      <c r="AS27" s="371">
        <f>'GPI Summary'!AR25/AS$34*1000000000</f>
        <v>2041.9573308468421</v>
      </c>
      <c r="AT27" s="371">
        <f>'GPI Summary'!AS25/AT$34*1000000000</f>
        <v>1901.0468652242839</v>
      </c>
      <c r="AU27" s="371">
        <f>'GPI Summary'!AT25/AU$34*1000000000</f>
        <v>2131.5151648981641</v>
      </c>
      <c r="AV27" s="371">
        <f>'GPI Summary'!AU25/AV$34*1000000000</f>
        <v>2014.127066654338</v>
      </c>
      <c r="AW27" s="371">
        <f>'GPI Summary'!AV25/AW$34*1000000000</f>
        <v>2569.1187327313473</v>
      </c>
      <c r="AX27" s="371">
        <f>'GPI Summary'!AW25/AX$34*1000000000</f>
        <v>2640.5950911000964</v>
      </c>
      <c r="AY27" s="371">
        <f>'GPI Summary'!AX25/AY$34*1000000000</f>
        <v>2482.0025978073018</v>
      </c>
      <c r="AZ27" s="371">
        <f>'GPI Summary'!AY25/AZ$34*1000000000</f>
        <v>1602.773045024662</v>
      </c>
      <c r="BA27" s="371">
        <f>'GPI Summary'!AZ25/BA$34*1000000000</f>
        <v>2253.6387375544396</v>
      </c>
      <c r="BB27" s="371">
        <f>'GPI Summary'!BA25/BB$34*1000000000</f>
        <v>2395.9569686796299</v>
      </c>
    </row>
    <row r="28" spans="1:54" x14ac:dyDescent="0.2">
      <c r="A28" s="7">
        <v>23</v>
      </c>
      <c r="B28" s="7" t="s">
        <v>1022</v>
      </c>
      <c r="C28" s="385" t="s">
        <v>1017</v>
      </c>
      <c r="D28" s="371">
        <f>'GPI Summary'!C26/D$34*1000000000</f>
        <v>3942.3862728965582</v>
      </c>
      <c r="E28" s="371">
        <f>'GPI Summary'!D26/E$34*1000000000</f>
        <v>3098.0697895435023</v>
      </c>
      <c r="F28" s="371">
        <f>'GPI Summary'!E26/F$34*1000000000</f>
        <v>3482.459495216865</v>
      </c>
      <c r="G28" s="371">
        <f>'GPI Summary'!F26/G$34*1000000000</f>
        <v>3620.0748524515475</v>
      </c>
      <c r="H28" s="371">
        <f>'GPI Summary'!G26/H$34*1000000000</f>
        <v>2805.9384788231396</v>
      </c>
      <c r="I28" s="371">
        <f>'GPI Summary'!H26/I$34*1000000000</f>
        <v>4107.7886934635017</v>
      </c>
      <c r="J28" s="371">
        <f>'GPI Summary'!I26/J$34*1000000000</f>
        <v>5078.2786297838156</v>
      </c>
      <c r="K28" s="371">
        <f>'GPI Summary'!J26/K$34*1000000000</f>
        <v>5156.2736297874517</v>
      </c>
      <c r="L28" s="371">
        <f>'GPI Summary'!K26/L$34*1000000000</f>
        <v>4050.5994851719506</v>
      </c>
      <c r="M28" s="371">
        <f>'GPI Summary'!L26/M$34*1000000000</f>
        <v>3749.1540708084544</v>
      </c>
      <c r="N28" s="371">
        <f>'GPI Summary'!M26/N$34*1000000000</f>
        <v>3708.8623406812721</v>
      </c>
      <c r="O28" s="371">
        <f>'GPI Summary'!N26/O$34*1000000000</f>
        <v>4146.2657822873762</v>
      </c>
      <c r="P28" s="371">
        <f>'GPI Summary'!O26/P$34*1000000000</f>
        <v>3320.4574395225491</v>
      </c>
      <c r="Q28" s="371">
        <f>'GPI Summary'!P26/Q$34*1000000000</f>
        <v>4293.4531143785971</v>
      </c>
      <c r="R28" s="371">
        <f>'GPI Summary'!Q26/R$34*1000000000</f>
        <v>3139.2169652945749</v>
      </c>
      <c r="S28" s="371">
        <f>'GPI Summary'!R26/S$34*1000000000</f>
        <v>3567.5140887651664</v>
      </c>
      <c r="T28" s="371">
        <f>'GPI Summary'!S26/T$34*1000000000</f>
        <v>4059.2042636343817</v>
      </c>
      <c r="U28" s="371">
        <f>'GPI Summary'!T26/U$34*1000000000</f>
        <v>2951.220634797131</v>
      </c>
      <c r="V28" s="371">
        <f>'GPI Summary'!U26/V$34*1000000000</f>
        <v>2865.6407739000902</v>
      </c>
      <c r="W28" s="371">
        <f>'GPI Summary'!V26/W$34*1000000000</f>
        <v>4211.0703252072026</v>
      </c>
      <c r="X28" s="371">
        <f>'GPI Summary'!W26/X$34*1000000000</f>
        <v>5171.3231753684295</v>
      </c>
      <c r="Y28" s="371">
        <f>'GPI Summary'!X26/Y$34*1000000000</f>
        <v>5568.4466511366318</v>
      </c>
      <c r="Z28" s="371">
        <f>'GPI Summary'!Y26/Z$34*1000000000</f>
        <v>3569.0308277392082</v>
      </c>
      <c r="AA28" s="371">
        <f>'GPI Summary'!Z26/AA$34*1000000000</f>
        <v>4509.3083467889555</v>
      </c>
      <c r="AB28" s="371">
        <f>'GPI Summary'!AA26/AB$34*1000000000</f>
        <v>2658.3983284419687</v>
      </c>
      <c r="AC28" s="371">
        <f>'GPI Summary'!AB26/AC$34*1000000000</f>
        <v>3638.9734496005381</v>
      </c>
      <c r="AD28" s="371">
        <f>'GPI Summary'!AC26/AD$34*1000000000</f>
        <v>3998.2601467852091</v>
      </c>
      <c r="AE28" s="371">
        <f>'GPI Summary'!AD26/AE$34*1000000000</f>
        <v>3786.0203693800463</v>
      </c>
      <c r="AF28" s="371">
        <f>'GPI Summary'!AE26/AF$34*1000000000</f>
        <v>3130.9035573016158</v>
      </c>
      <c r="AG28" s="371">
        <f>'GPI Summary'!AF26/AG$34*1000000000</f>
        <v>4842.7370426290645</v>
      </c>
      <c r="AH28" s="371">
        <f>'GPI Summary'!AG26/AH$34*1000000000</f>
        <v>5014.3658963825255</v>
      </c>
      <c r="AI28" s="371">
        <f>'GPI Summary'!AH26/AI$34*1000000000</f>
        <v>3485.648499485806</v>
      </c>
      <c r="AJ28" s="371">
        <f>'GPI Summary'!AI26/AJ$34*1000000000</f>
        <v>4653.453406425404</v>
      </c>
      <c r="AK28" s="371">
        <f>'GPI Summary'!AJ26/AK$34*1000000000</f>
        <v>3727.892300054054</v>
      </c>
      <c r="AL28" s="371">
        <f>'GPI Summary'!AK26/AL$34*1000000000</f>
        <v>3597.4957876786802</v>
      </c>
      <c r="AM28" s="371">
        <f>'GPI Summary'!AL26/AM$34*1000000000</f>
        <v>3466.2814656239198</v>
      </c>
      <c r="AN28" s="371">
        <f>'GPI Summary'!AM26/AN$34*1000000000</f>
        <v>3245.744841606579</v>
      </c>
      <c r="AO28" s="371">
        <f>'GPI Summary'!AN26/AO$34*1000000000</f>
        <v>4186.8983318101682</v>
      </c>
      <c r="AP28" s="371">
        <f>'GPI Summary'!AO26/AP$34*1000000000</f>
        <v>3858.6974652044241</v>
      </c>
      <c r="AQ28" s="371">
        <f>'GPI Summary'!AP26/AQ$34*1000000000</f>
        <v>4406.5416583975566</v>
      </c>
      <c r="AR28" s="371">
        <f>'GPI Summary'!AQ26/AR$34*1000000000</f>
        <v>3352.5501496432785</v>
      </c>
      <c r="AS28" s="371">
        <f>'GPI Summary'!AR26/AS$34*1000000000</f>
        <v>3587.9332629920846</v>
      </c>
      <c r="AT28" s="371">
        <f>'GPI Summary'!AS26/AT$34*1000000000</f>
        <v>3309.7855607839942</v>
      </c>
      <c r="AU28" s="371">
        <f>'GPI Summary'!AT26/AU$34*1000000000</f>
        <v>3460.2813401317007</v>
      </c>
      <c r="AV28" s="371">
        <f>'GPI Summary'!AU26/AV$34*1000000000</f>
        <v>3548.1087078967016</v>
      </c>
      <c r="AW28" s="371">
        <f>'GPI Summary'!AV26/AW$34*1000000000</f>
        <v>5132.2970809874369</v>
      </c>
      <c r="AX28" s="371">
        <f>'GPI Summary'!AW26/AX$34*1000000000</f>
        <v>4905.0726401048423</v>
      </c>
      <c r="AY28" s="371">
        <f>'GPI Summary'!AX26/AY$34*1000000000</f>
        <v>4478.5789027385908</v>
      </c>
      <c r="AZ28" s="371">
        <f>'GPI Summary'!AY26/AZ$34*1000000000</f>
        <v>2697.750410221855</v>
      </c>
      <c r="BA28" s="371">
        <f>'GPI Summary'!AZ26/BA$34*1000000000</f>
        <v>3716.446028743645</v>
      </c>
      <c r="BB28" s="371">
        <f>'GPI Summary'!BA26/BB$34*1000000000</f>
        <v>3417.65187985279</v>
      </c>
    </row>
    <row r="29" spans="1:54" x14ac:dyDescent="0.2">
      <c r="A29" s="7">
        <v>24</v>
      </c>
      <c r="B29" s="7" t="s">
        <v>1023</v>
      </c>
      <c r="C29" s="385" t="s">
        <v>1017</v>
      </c>
      <c r="D29" s="371">
        <f>'GPI Summary'!C27/D$34*1000000000</f>
        <v>754.71789449906328</v>
      </c>
      <c r="E29" s="371">
        <f>'GPI Summary'!D27/E$34*1000000000</f>
        <v>1218.5665727118851</v>
      </c>
      <c r="F29" s="371">
        <f>'GPI Summary'!E27/F$34*1000000000</f>
        <v>1326.3285769026165</v>
      </c>
      <c r="G29" s="371">
        <f>'GPI Summary'!F27/G$34*1000000000</f>
        <v>579.48668860366035</v>
      </c>
      <c r="H29" s="371">
        <f>'GPI Summary'!G27/H$34*1000000000</f>
        <v>1960.9116394093746</v>
      </c>
      <c r="I29" s="371">
        <f>'GPI Summary'!H27/I$34*1000000000</f>
        <v>263.10059549585583</v>
      </c>
      <c r="J29" s="371">
        <f>'GPI Summary'!I27/J$34*1000000000</f>
        <v>994.96921241142036</v>
      </c>
      <c r="K29" s="371">
        <f>'GPI Summary'!J27/K$34*1000000000</f>
        <v>344.24592041228351</v>
      </c>
      <c r="L29" s="371">
        <f>'GPI Summary'!K27/L$34*1000000000</f>
        <v>403.09648958275909</v>
      </c>
      <c r="M29" s="371">
        <f>'GPI Summary'!L27/M$34*1000000000</f>
        <v>367.3762536142969</v>
      </c>
      <c r="N29" s="371">
        <f>'GPI Summary'!M27/N$34*1000000000</f>
        <v>724.92095260937447</v>
      </c>
      <c r="O29" s="371">
        <f>'GPI Summary'!N27/O$34*1000000000</f>
        <v>184.03308396149845</v>
      </c>
      <c r="P29" s="371">
        <f>'GPI Summary'!O27/P$34*1000000000</f>
        <v>1765.1066438128396</v>
      </c>
      <c r="Q29" s="371">
        <f>'GPI Summary'!P27/Q$34*1000000000</f>
        <v>624.56155937133531</v>
      </c>
      <c r="R29" s="371">
        <f>'GPI Summary'!Q27/R$34*1000000000</f>
        <v>857.63479689088433</v>
      </c>
      <c r="S29" s="371">
        <f>'GPI Summary'!R27/S$34*1000000000</f>
        <v>2149.3840573510579</v>
      </c>
      <c r="T29" s="371">
        <f>'GPI Summary'!S27/T$34*1000000000</f>
        <v>2818.4844461544753</v>
      </c>
      <c r="U29" s="371">
        <f>'GPI Summary'!T27/U$34*1000000000</f>
        <v>1044.5050899015141</v>
      </c>
      <c r="V29" s="371">
        <f>'GPI Summary'!U27/V$34*1000000000</f>
        <v>775.70352373594187</v>
      </c>
      <c r="W29" s="371">
        <f>'GPI Summary'!V27/W$34*1000000000</f>
        <v>991.29389115430263</v>
      </c>
      <c r="X29" s="371">
        <f>'GPI Summary'!W27/X$34*1000000000</f>
        <v>318.67179096408228</v>
      </c>
      <c r="Y29" s="371">
        <f>'GPI Summary'!X27/Y$34*1000000000</f>
        <v>316.35483546058458</v>
      </c>
      <c r="Z29" s="371">
        <f>'GPI Summary'!Y27/Z$34*1000000000</f>
        <v>711.68578737411485</v>
      </c>
      <c r="AA29" s="371">
        <f>'GPI Summary'!Z27/AA$34*1000000000</f>
        <v>1493.438568174173</v>
      </c>
      <c r="AB29" s="371">
        <f>'GPI Summary'!AA27/AB$34*1000000000</f>
        <v>1452.5863535877145</v>
      </c>
      <c r="AC29" s="371">
        <f>'GPI Summary'!AB27/AC$34*1000000000</f>
        <v>1261.5794835744357</v>
      </c>
      <c r="AD29" s="371">
        <f>'GPI Summary'!AC27/AD$34*1000000000</f>
        <v>4321.3599177487149</v>
      </c>
      <c r="AE29" s="371">
        <f>'GPI Summary'!AD27/AE$34*1000000000</f>
        <v>2925.2988529564768</v>
      </c>
      <c r="AF29" s="371">
        <f>'GPI Summary'!AE27/AF$34*1000000000</f>
        <v>779.7926804234944</v>
      </c>
      <c r="AG29" s="371">
        <f>'GPI Summary'!AF27/AG$34*1000000000</f>
        <v>702.37697226251487</v>
      </c>
      <c r="AH29" s="371">
        <f>'GPI Summary'!AG27/AH$34*1000000000</f>
        <v>255.5471081677529</v>
      </c>
      <c r="AI29" s="371">
        <f>'GPI Summary'!AH27/AI$34*1000000000</f>
        <v>1894.1289768067209</v>
      </c>
      <c r="AJ29" s="371">
        <f>'GPI Summary'!AI27/AJ$34*1000000000</f>
        <v>338.31679783688367</v>
      </c>
      <c r="AK29" s="371">
        <f>'GPI Summary'!AJ27/AK$34*1000000000</f>
        <v>631.5862382099109</v>
      </c>
      <c r="AL29" s="371">
        <f>'GPI Summary'!AK27/AL$34*1000000000</f>
        <v>7302.7688180319437</v>
      </c>
      <c r="AM29" s="371">
        <f>'GPI Summary'!AL27/AM$34*1000000000</f>
        <v>614.85609244428019</v>
      </c>
      <c r="AN29" s="371">
        <f>'GPI Summary'!AM27/AN$34*1000000000</f>
        <v>1716.3642711554658</v>
      </c>
      <c r="AO29" s="371">
        <f>'GPI Summary'!AN27/AO$34*1000000000</f>
        <v>880.38179760336971</v>
      </c>
      <c r="AP29" s="371">
        <f>'GPI Summary'!AO27/AP$34*1000000000</f>
        <v>541.11243148855283</v>
      </c>
      <c r="AQ29" s="371">
        <f>'GPI Summary'!AP27/AQ$34*1000000000</f>
        <v>355.37105122619238</v>
      </c>
      <c r="AR29" s="371">
        <f>'GPI Summary'!AQ27/AR$34*1000000000</f>
        <v>813.08942179828296</v>
      </c>
      <c r="AS29" s="371">
        <f>'GPI Summary'!AR27/AS$34*1000000000</f>
        <v>5764.5610590514034</v>
      </c>
      <c r="AT29" s="371">
        <f>'GPI Summary'!AS27/AT$34*1000000000</f>
        <v>859.09814869878358</v>
      </c>
      <c r="AU29" s="371">
        <f>'GPI Summary'!AT27/AU$34*1000000000</f>
        <v>702.88043136372562</v>
      </c>
      <c r="AV29" s="371">
        <f>'GPI Summary'!AU27/AV$34*1000000000</f>
        <v>933.59280348134416</v>
      </c>
      <c r="AW29" s="371">
        <f>'GPI Summary'!AV27/AW$34*1000000000</f>
        <v>1313.0576107163618</v>
      </c>
      <c r="AX29" s="371">
        <f>'GPI Summary'!AW27/AX$34*1000000000</f>
        <v>528.99338947110914</v>
      </c>
      <c r="AY29" s="371">
        <f>'GPI Summary'!AX27/AY$34*1000000000</f>
        <v>706.63481660519358</v>
      </c>
      <c r="AZ29" s="371">
        <f>'GPI Summary'!AY27/AZ$34*1000000000</f>
        <v>1199.5472603657922</v>
      </c>
      <c r="BA29" s="371">
        <f>'GPI Summary'!AZ27/BA$34*1000000000</f>
        <v>1159.7958867739821</v>
      </c>
      <c r="BB29" s="371">
        <f>'GPI Summary'!BA27/BB$34*1000000000</f>
        <v>2867.1392117672158</v>
      </c>
    </row>
    <row r="30" spans="1:54" x14ac:dyDescent="0.2">
      <c r="A30" s="7">
        <v>25</v>
      </c>
      <c r="B30" s="7" t="s">
        <v>127</v>
      </c>
      <c r="C30" s="385" t="s">
        <v>1017</v>
      </c>
      <c r="D30" s="371">
        <f>'GPI Summary'!C28/D$34*1000000000</f>
        <v>1319.2018659273413</v>
      </c>
      <c r="E30" s="371">
        <f>'GPI Summary'!D28/E$34*1000000000</f>
        <v>972.26670391632763</v>
      </c>
      <c r="F30" s="371">
        <f>'GPI Summary'!E28/F$34*1000000000</f>
        <v>1153.2580372621694</v>
      </c>
      <c r="G30" s="371">
        <f>'GPI Summary'!F28/G$34*1000000000</f>
        <v>1101.5175720528803</v>
      </c>
      <c r="H30" s="371">
        <f>'GPI Summary'!G28/H$34*1000000000</f>
        <v>804.97764289992392</v>
      </c>
      <c r="I30" s="371">
        <f>'GPI Summary'!H28/I$34*1000000000</f>
        <v>1517.0776432048601</v>
      </c>
      <c r="J30" s="371">
        <f>'GPI Summary'!I28/J$34*1000000000</f>
        <v>1390.3971217099233</v>
      </c>
      <c r="K30" s="371">
        <f>'GPI Summary'!J28/K$34*1000000000</f>
        <v>1567.4041307395578</v>
      </c>
      <c r="L30" s="371">
        <f>'GPI Summary'!K28/L$34*1000000000</f>
        <v>1354.1843295094727</v>
      </c>
      <c r="M30" s="371">
        <f>'GPI Summary'!L28/M$34*1000000000</f>
        <v>1105.6641335320469</v>
      </c>
      <c r="N30" s="371">
        <f>'GPI Summary'!M28/N$34*1000000000</f>
        <v>1227.907440574749</v>
      </c>
      <c r="O30" s="371">
        <f>'GPI Summary'!N28/O$34*1000000000</f>
        <v>1396.9511953225581</v>
      </c>
      <c r="P30" s="371">
        <f>'GPI Summary'!O28/P$34*1000000000</f>
        <v>801.77276336301816</v>
      </c>
      <c r="Q30" s="371">
        <f>'GPI Summary'!P28/Q$34*1000000000</f>
        <v>1551.1704896504434</v>
      </c>
      <c r="R30" s="371">
        <f>'GPI Summary'!Q28/R$34*1000000000</f>
        <v>1032.1177114430388</v>
      </c>
      <c r="S30" s="371">
        <f>'GPI Summary'!R28/S$34*1000000000</f>
        <v>892.40782516963554</v>
      </c>
      <c r="T30" s="371">
        <f>'GPI Summary'!S28/T$34*1000000000</f>
        <v>910.53590467130084</v>
      </c>
      <c r="U30" s="371">
        <f>'GPI Summary'!T28/U$34*1000000000</f>
        <v>921.57232722324511</v>
      </c>
      <c r="V30" s="371">
        <f>'GPI Summary'!U28/V$34*1000000000</f>
        <v>1051.6879681877886</v>
      </c>
      <c r="W30" s="371">
        <f>'GPI Summary'!V28/W$34*1000000000</f>
        <v>1094.0904606989818</v>
      </c>
      <c r="X30" s="371">
        <f>'GPI Summary'!W28/X$34*1000000000</f>
        <v>2038.6595836701786</v>
      </c>
      <c r="Y30" s="371">
        <f>'GPI Summary'!X28/Y$34*1000000000</f>
        <v>1901.8742103049258</v>
      </c>
      <c r="Z30" s="371">
        <f>'GPI Summary'!Y28/Z$34*1000000000</f>
        <v>1098.0333102311588</v>
      </c>
      <c r="AA30" s="371">
        <f>'GPI Summary'!Z28/AA$34*1000000000</f>
        <v>1316.0967321594962</v>
      </c>
      <c r="AB30" s="371">
        <f>'GPI Summary'!AA28/AB$34*1000000000</f>
        <v>828.72235467797304</v>
      </c>
      <c r="AC30" s="371">
        <f>'GPI Summary'!AB28/AC$34*1000000000</f>
        <v>1072.1122562909036</v>
      </c>
      <c r="AD30" s="371">
        <f>'GPI Summary'!AC28/AD$34*1000000000</f>
        <v>766.8061786095501</v>
      </c>
      <c r="AE30" s="371">
        <f>'GPI Summary'!AD28/AE$34*1000000000</f>
        <v>889.14717499119024</v>
      </c>
      <c r="AF30" s="371">
        <f>'GPI Summary'!AE28/AF$34*1000000000</f>
        <v>1132.1703797680823</v>
      </c>
      <c r="AG30" s="371">
        <f>'GPI Summary'!AF28/AG$34*1000000000</f>
        <v>1478.7376899077178</v>
      </c>
      <c r="AH30" s="371">
        <f>'GPI Summary'!AG28/AH$34*1000000000</f>
        <v>1932.9549430946522</v>
      </c>
      <c r="AI30" s="371">
        <f>'GPI Summary'!AH28/AI$34*1000000000</f>
        <v>918.10458174711016</v>
      </c>
      <c r="AJ30" s="371">
        <f>'GPI Summary'!AI28/AJ$34*1000000000</f>
        <v>2135.3399006600152</v>
      </c>
      <c r="AK30" s="371">
        <f>'GPI Summary'!AJ28/AK$34*1000000000</f>
        <v>1046.359044152839</v>
      </c>
      <c r="AL30" s="371">
        <f>'GPI Summary'!AK28/AL$34*1000000000</f>
        <v>843.00748335810033</v>
      </c>
      <c r="AM30" s="371">
        <f>'GPI Summary'!AL28/AM$34*1000000000</f>
        <v>1074.6236531263701</v>
      </c>
      <c r="AN30" s="371">
        <f>'GPI Summary'!AM28/AN$34*1000000000</f>
        <v>885.41911375628365</v>
      </c>
      <c r="AO30" s="371">
        <f>'GPI Summary'!AN28/AO$34*1000000000</f>
        <v>1073.7968272135288</v>
      </c>
      <c r="AP30" s="371">
        <f>'GPI Summary'!AO28/AP$34*1000000000</f>
        <v>1327.0047215463978</v>
      </c>
      <c r="AQ30" s="371">
        <f>'GPI Summary'!AP28/AQ$34*1000000000</f>
        <v>1331.6916214246464</v>
      </c>
      <c r="AR30" s="371">
        <f>'GPI Summary'!AQ28/AR$34*1000000000</f>
        <v>947.35495500740933</v>
      </c>
      <c r="AS30" s="371">
        <f>'GPI Summary'!AR28/AS$34*1000000000</f>
        <v>726.49670496262956</v>
      </c>
      <c r="AT30" s="371">
        <f>'GPI Summary'!AS28/AT$34*1000000000</f>
        <v>1018.9221552683863</v>
      </c>
      <c r="AU30" s="371">
        <f>'GPI Summary'!AT28/AU$34*1000000000</f>
        <v>1189.8153067587798</v>
      </c>
      <c r="AV30" s="371">
        <f>'GPI Summary'!AU28/AV$34*1000000000</f>
        <v>995.42369807365924</v>
      </c>
      <c r="AW30" s="371">
        <f>'GPI Summary'!AV28/AW$34*1000000000</f>
        <v>1162.3719550291387</v>
      </c>
      <c r="AX30" s="371">
        <f>'GPI Summary'!AW28/AX$34*1000000000</f>
        <v>1604.3193549973814</v>
      </c>
      <c r="AY30" s="371">
        <f>'GPI Summary'!AX28/AY$34*1000000000</f>
        <v>1487.5599645576451</v>
      </c>
      <c r="AZ30" s="371">
        <f>'GPI Summary'!AY28/AZ$34*1000000000</f>
        <v>923.54941481083972</v>
      </c>
      <c r="BA30" s="371">
        <f>'GPI Summary'!AZ28/BA$34*1000000000</f>
        <v>1090.8915336315924</v>
      </c>
      <c r="BB30" s="371">
        <f>'GPI Summary'!BA28/BB$34*1000000000</f>
        <v>997.43302822083854</v>
      </c>
    </row>
    <row r="31" spans="1:54" x14ac:dyDescent="0.2">
      <c r="A31" s="7">
        <v>26</v>
      </c>
      <c r="B31" s="7" t="s">
        <v>128</v>
      </c>
      <c r="C31" s="385" t="s">
        <v>1017</v>
      </c>
      <c r="D31" s="371">
        <f>'GPI Summary'!C29/D$34*1000000000</f>
        <v>5179.3737851433816</v>
      </c>
      <c r="E31" s="371">
        <f>'GPI Summary'!D29/E$34*1000000000</f>
        <v>9268.654361262772</v>
      </c>
      <c r="F31" s="371">
        <f>'GPI Summary'!E29/F$34*1000000000</f>
        <v>4953.7258585914396</v>
      </c>
      <c r="G31" s="371">
        <f>'GPI Summary'!F29/G$34*1000000000</f>
        <v>6353.0750396416433</v>
      </c>
      <c r="H31" s="371">
        <f>'GPI Summary'!G29/H$34*1000000000</f>
        <v>9304.4044712721989</v>
      </c>
      <c r="I31" s="371">
        <f>'GPI Summary'!H29/I$34*1000000000</f>
        <v>3688.5668975510953</v>
      </c>
      <c r="J31" s="371">
        <f>'GPI Summary'!I29/J$34*1000000000</f>
        <v>4351.1634966036008</v>
      </c>
      <c r="K31" s="371">
        <f>'GPI Summary'!J29/K$34*1000000000</f>
        <v>3054.77776287712</v>
      </c>
      <c r="L31" s="371">
        <f>'GPI Summary'!K29/L$34*1000000000</f>
        <v>5429.2254362502572</v>
      </c>
      <c r="M31" s="371">
        <f>'GPI Summary'!L29/M$34*1000000000</f>
        <v>6258.5449425929346</v>
      </c>
      <c r="N31" s="371">
        <f>'GPI Summary'!M29/N$34*1000000000</f>
        <v>6207.2981868630977</v>
      </c>
      <c r="O31" s="371">
        <f>'GPI Summary'!N29/O$34*1000000000</f>
        <v>3613.8005464897219</v>
      </c>
      <c r="P31" s="371">
        <f>'GPI Summary'!O29/P$34*1000000000</f>
        <v>5251.5262357215988</v>
      </c>
      <c r="Q31" s="371">
        <f>'GPI Summary'!P29/Q$34*1000000000</f>
        <v>3555.200831244646</v>
      </c>
      <c r="R31" s="371">
        <f>'GPI Summary'!Q29/R$34*1000000000</f>
        <v>5732.059788657858</v>
      </c>
      <c r="S31" s="371">
        <f>'GPI Summary'!R29/S$34*1000000000</f>
        <v>5851.3225919414435</v>
      </c>
      <c r="T31" s="371">
        <f>'GPI Summary'!S29/T$34*1000000000</f>
        <v>6697.3200352380018</v>
      </c>
      <c r="U31" s="371">
        <f>'GPI Summary'!T29/U$34*1000000000</f>
        <v>8222.8926703389079</v>
      </c>
      <c r="V31" s="371">
        <f>'GPI Summary'!U29/V$34*1000000000</f>
        <v>7348.3348656521448</v>
      </c>
      <c r="W31" s="371">
        <f>'GPI Summary'!V29/W$34*1000000000</f>
        <v>5098.2017406524246</v>
      </c>
      <c r="X31" s="371">
        <f>'GPI Summary'!W29/X$34*1000000000</f>
        <v>4136.3261154527536</v>
      </c>
      <c r="Y31" s="371">
        <f>'GPI Summary'!X29/Y$34*1000000000</f>
        <v>2540.2674757879381</v>
      </c>
      <c r="Z31" s="371">
        <f>'GPI Summary'!Y29/Z$34*1000000000</f>
        <v>4482.6982778465763</v>
      </c>
      <c r="AA31" s="371">
        <f>'GPI Summary'!Z29/AA$34*1000000000</f>
        <v>3427.4205849844316</v>
      </c>
      <c r="AB31" s="371">
        <f>'GPI Summary'!AA29/AB$34*1000000000</f>
        <v>10537.779386906343</v>
      </c>
      <c r="AC31" s="371">
        <f>'GPI Summary'!AB29/AC$34*1000000000</f>
        <v>6497.840788614737</v>
      </c>
      <c r="AD31" s="371">
        <f>'GPI Summary'!AC29/AD$34*1000000000</f>
        <v>10433.13266517452</v>
      </c>
      <c r="AE31" s="371">
        <f>'GPI Summary'!AD29/AE$34*1000000000</f>
        <v>4893.1421487896396</v>
      </c>
      <c r="AF31" s="371">
        <f>'GPI Summary'!AE29/AF$34*1000000000</f>
        <v>4504.1804716716151</v>
      </c>
      <c r="AG31" s="371">
        <f>'GPI Summary'!AF29/AG$34*1000000000</f>
        <v>3401.2985209518542</v>
      </c>
      <c r="AH31" s="371">
        <f>'GPI Summary'!AG29/AH$34*1000000000</f>
        <v>3534.4854361283533</v>
      </c>
      <c r="AI31" s="371">
        <f>'GPI Summary'!AH29/AI$34*1000000000</f>
        <v>8457.5071255361199</v>
      </c>
      <c r="AJ31" s="371">
        <f>'GPI Summary'!AI29/AJ$34*1000000000</f>
        <v>2985.3686056923016</v>
      </c>
      <c r="AK31" s="371">
        <f>'GPI Summary'!AJ29/AK$34*1000000000</f>
        <v>6331.7194418088793</v>
      </c>
      <c r="AL31" s="371">
        <f>'GPI Summary'!AK29/AL$34*1000000000</f>
        <v>10764.405954571566</v>
      </c>
      <c r="AM31" s="371">
        <f>'GPI Summary'!AL29/AM$34*1000000000</f>
        <v>4384.3382701931187</v>
      </c>
      <c r="AN31" s="371">
        <f>'GPI Summary'!AM29/AN$34*1000000000</f>
        <v>9159.9574331232543</v>
      </c>
      <c r="AO31" s="371">
        <f>'GPI Summary'!AN29/AO$34*1000000000</f>
        <v>4261.5723715771055</v>
      </c>
      <c r="AP31" s="371">
        <f>'GPI Summary'!AO29/AP$34*1000000000</f>
        <v>5025.6359855412684</v>
      </c>
      <c r="AQ31" s="371">
        <f>'GPI Summary'!AP29/AQ$34*1000000000</f>
        <v>3128.539013140487</v>
      </c>
      <c r="AR31" s="371">
        <f>'GPI Summary'!AQ29/AR$34*1000000000</f>
        <v>8823.8123931708051</v>
      </c>
      <c r="AS31" s="371">
        <f>'GPI Summary'!AR29/AS$34*1000000000</f>
        <v>6712.1921871604054</v>
      </c>
      <c r="AT31" s="371">
        <f>'GPI Summary'!AS29/AT$34*1000000000</f>
        <v>7361.7263095370727</v>
      </c>
      <c r="AU31" s="371">
        <f>'GPI Summary'!AT29/AU$34*1000000000</f>
        <v>5860.1219678686884</v>
      </c>
      <c r="AV31" s="371">
        <f>'GPI Summary'!AU29/AV$34*1000000000</f>
        <v>4247.0526910860681</v>
      </c>
      <c r="AW31" s="371">
        <f>'GPI Summary'!AV29/AW$34*1000000000</f>
        <v>4371.5142123316828</v>
      </c>
      <c r="AX31" s="371">
        <f>'GPI Summary'!AW29/AX$34*1000000000</f>
        <v>4694.9113796516394</v>
      </c>
      <c r="AY31" s="371">
        <f>'GPI Summary'!AX29/AY$34*1000000000</f>
        <v>3335.630107004949</v>
      </c>
      <c r="AZ31" s="371">
        <f>'GPI Summary'!AY29/AZ$34*1000000000</f>
        <v>9048.187205690705</v>
      </c>
      <c r="BA31" s="371">
        <f>'GPI Summary'!AZ29/BA$34*1000000000</f>
        <v>5076.3653221288223</v>
      </c>
      <c r="BB31" s="371">
        <f>'GPI Summary'!BA29/BB$34*1000000000</f>
        <v>11850.377011964269</v>
      </c>
    </row>
    <row r="33" spans="2:56" s="220" customFormat="1" x14ac:dyDescent="0.2">
      <c r="D33" s="373" t="s">
        <v>96</v>
      </c>
      <c r="E33" s="373" t="s">
        <v>39</v>
      </c>
      <c r="F33" s="373" t="s">
        <v>40</v>
      </c>
      <c r="G33" s="373" t="s">
        <v>41</v>
      </c>
      <c r="H33" s="373" t="s">
        <v>42</v>
      </c>
      <c r="I33" s="373" t="s">
        <v>43</v>
      </c>
      <c r="J33" s="373" t="s">
        <v>44</v>
      </c>
      <c r="K33" s="373" t="s">
        <v>45</v>
      </c>
      <c r="L33" s="373" t="s">
        <v>46</v>
      </c>
      <c r="M33" s="373" t="s">
        <v>47</v>
      </c>
      <c r="N33" s="373" t="s">
        <v>48</v>
      </c>
      <c r="O33" s="373" t="s">
        <v>49</v>
      </c>
      <c r="P33" s="373" t="s">
        <v>50</v>
      </c>
      <c r="Q33" s="373" t="s">
        <v>51</v>
      </c>
      <c r="R33" s="373" t="s">
        <v>52</v>
      </c>
      <c r="S33" s="373" t="s">
        <v>53</v>
      </c>
      <c r="T33" s="373" t="s">
        <v>54</v>
      </c>
      <c r="U33" s="373" t="s">
        <v>55</v>
      </c>
      <c r="V33" s="373" t="s">
        <v>56</v>
      </c>
      <c r="W33" s="373" t="s">
        <v>57</v>
      </c>
      <c r="X33" s="373" t="s">
        <v>58</v>
      </c>
      <c r="Y33" s="373" t="s">
        <v>59</v>
      </c>
      <c r="Z33" s="373" t="s">
        <v>60</v>
      </c>
      <c r="AA33" s="373" t="s">
        <v>61</v>
      </c>
      <c r="AB33" s="373" t="s">
        <v>62</v>
      </c>
      <c r="AC33" s="373" t="s">
        <v>63</v>
      </c>
      <c r="AD33" s="373" t="s">
        <v>64</v>
      </c>
      <c r="AE33" s="373" t="s">
        <v>65</v>
      </c>
      <c r="AF33" s="373" t="s">
        <v>66</v>
      </c>
      <c r="AG33" s="373" t="s">
        <v>67</v>
      </c>
      <c r="AH33" s="373" t="s">
        <v>68</v>
      </c>
      <c r="AI33" s="373" t="s">
        <v>69</v>
      </c>
      <c r="AJ33" s="373" t="s">
        <v>70</v>
      </c>
      <c r="AK33" s="373" t="s">
        <v>71</v>
      </c>
      <c r="AL33" s="373" t="s">
        <v>72</v>
      </c>
      <c r="AM33" s="373" t="s">
        <v>73</v>
      </c>
      <c r="AN33" s="373" t="s">
        <v>74</v>
      </c>
      <c r="AO33" s="373" t="s">
        <v>75</v>
      </c>
      <c r="AP33" s="373" t="s">
        <v>76</v>
      </c>
      <c r="AQ33" s="373" t="s">
        <v>77</v>
      </c>
      <c r="AR33" s="373" t="s">
        <v>78</v>
      </c>
      <c r="AS33" s="373" t="s">
        <v>79</v>
      </c>
      <c r="AT33" s="373" t="s">
        <v>80</v>
      </c>
      <c r="AU33" s="373" t="s">
        <v>81</v>
      </c>
      <c r="AV33" s="373" t="s">
        <v>82</v>
      </c>
      <c r="AW33" s="373" t="s">
        <v>83</v>
      </c>
      <c r="AX33" s="373" t="s">
        <v>84</v>
      </c>
      <c r="AY33" s="373" t="s">
        <v>85</v>
      </c>
      <c r="AZ33" s="373" t="s">
        <v>86</v>
      </c>
      <c r="BA33" s="373" t="s">
        <v>87</v>
      </c>
      <c r="BB33" s="373" t="s">
        <v>88</v>
      </c>
      <c r="BD33" s="9"/>
    </row>
    <row r="34" spans="2:56" x14ac:dyDescent="0.2">
      <c r="B34" s="7" t="s">
        <v>89</v>
      </c>
      <c r="C34" s="7" t="s">
        <v>130</v>
      </c>
      <c r="D34" s="374">
        <f>'GPI Summary'!C32</f>
        <v>310968796</v>
      </c>
      <c r="E34" s="374">
        <f>'GPI Summary'!D32</f>
        <v>4803689</v>
      </c>
      <c r="F34" s="374">
        <f>'GPI Summary'!E32</f>
        <v>723860</v>
      </c>
      <c r="G34" s="374">
        <f>'GPI Summary'!F32</f>
        <v>6467315</v>
      </c>
      <c r="H34" s="374">
        <f>'GPI Summary'!G32</f>
        <v>2938582</v>
      </c>
      <c r="I34" s="374">
        <f>'GPI Summary'!H32</f>
        <v>37683933</v>
      </c>
      <c r="J34" s="374">
        <f>'GPI Summary'!I32</f>
        <v>5116302</v>
      </c>
      <c r="K34" s="374">
        <f>'GPI Summary'!J32</f>
        <v>3586717</v>
      </c>
      <c r="L34" s="374">
        <f>'GPI Summary'!K32</f>
        <v>908137</v>
      </c>
      <c r="M34" s="374">
        <f>'GPI Summary'!L32</f>
        <v>19082262</v>
      </c>
      <c r="N34" s="374">
        <f>'GPI Summary'!M32</f>
        <v>9812460</v>
      </c>
      <c r="O34" s="374">
        <f>'GPI Summary'!N32</f>
        <v>1378129</v>
      </c>
      <c r="P34" s="374">
        <f>'GPI Summary'!O32</f>
        <v>1583744</v>
      </c>
      <c r="Q34" s="374">
        <f>'GPI Summary'!P32</f>
        <v>12859752</v>
      </c>
      <c r="R34" s="374">
        <f>'GPI Summary'!Q32</f>
        <v>6516353</v>
      </c>
      <c r="S34" s="374">
        <f>'GPI Summary'!R32</f>
        <v>3064097</v>
      </c>
      <c r="T34" s="374">
        <f>'GPI Summary'!S32</f>
        <v>2870386</v>
      </c>
      <c r="U34" s="374">
        <f>'GPI Summary'!T32</f>
        <v>4366814</v>
      </c>
      <c r="V34" s="374">
        <f>'GPI Summary'!U32</f>
        <v>4574766</v>
      </c>
      <c r="W34" s="374">
        <f>'GPI Summary'!V32</f>
        <v>1328544</v>
      </c>
      <c r="X34" s="374">
        <f>'GPI Summary'!W32</f>
        <v>5839572</v>
      </c>
      <c r="Y34" s="374">
        <f>'GPI Summary'!X32</f>
        <v>6607003</v>
      </c>
      <c r="Z34" s="374">
        <f>'GPI Summary'!Y32</f>
        <v>9876801</v>
      </c>
      <c r="AA34" s="374">
        <f>'GPI Summary'!Z32</f>
        <v>5347299</v>
      </c>
      <c r="AB34" s="374">
        <f>'GPI Summary'!AA32</f>
        <v>2977457</v>
      </c>
      <c r="AC34" s="374">
        <f>'GPI Summary'!AB32</f>
        <v>6008984</v>
      </c>
      <c r="AD34" s="374">
        <f>'GPI Summary'!AC32</f>
        <v>997667</v>
      </c>
      <c r="AE34" s="374">
        <f>'GPI Summary'!AD32</f>
        <v>1842234</v>
      </c>
      <c r="AF34" s="374">
        <f>'GPI Summary'!AE32</f>
        <v>2720028</v>
      </c>
      <c r="AG34" s="374">
        <f>'GPI Summary'!AF32</f>
        <v>1317807</v>
      </c>
      <c r="AH34" s="374">
        <f>'GPI Summary'!AG32</f>
        <v>8834773</v>
      </c>
      <c r="AI34" s="374">
        <f>'GPI Summary'!AH32</f>
        <v>2078674</v>
      </c>
      <c r="AJ34" s="374">
        <f>'GPI Summary'!AI32</f>
        <v>19501616</v>
      </c>
      <c r="AK34" s="374">
        <f>'GPI Summary'!AJ32</f>
        <v>9651103</v>
      </c>
      <c r="AL34" s="374">
        <f>'GPI Summary'!AK32</f>
        <v>684740</v>
      </c>
      <c r="AM34" s="374">
        <f>'GPI Summary'!AL32</f>
        <v>11541007</v>
      </c>
      <c r="AN34" s="374">
        <f>'GPI Summary'!AM32</f>
        <v>3784163</v>
      </c>
      <c r="AO34" s="374">
        <f>'GPI Summary'!AN32</f>
        <v>3868229</v>
      </c>
      <c r="AP34" s="374">
        <f>'GPI Summary'!AO32</f>
        <v>12743948</v>
      </c>
      <c r="AQ34" s="374">
        <f>'GPI Summary'!AP32</f>
        <v>1050646</v>
      </c>
      <c r="AR34" s="374">
        <f>'GPI Summary'!AQ32</f>
        <v>4673348</v>
      </c>
      <c r="AS34" s="374">
        <f>'GPI Summary'!AR32</f>
        <v>823593</v>
      </c>
      <c r="AT34" s="374">
        <f>'GPI Summary'!AS32</f>
        <v>6399787</v>
      </c>
      <c r="AU34" s="374">
        <f>'GPI Summary'!AT32</f>
        <v>25631778</v>
      </c>
      <c r="AV34" s="374">
        <f>'GPI Summary'!AU32</f>
        <v>2814347</v>
      </c>
      <c r="AW34" s="374">
        <f>'GPI Summary'!AV32</f>
        <v>626592</v>
      </c>
      <c r="AX34" s="374">
        <f>'GPI Summary'!AW32</f>
        <v>8104384</v>
      </c>
      <c r="AY34" s="374">
        <f>'GPI Summary'!AX32</f>
        <v>6823267</v>
      </c>
      <c r="AZ34" s="374">
        <f>'GPI Summary'!AY32</f>
        <v>1854908</v>
      </c>
      <c r="BA34" s="374">
        <f>'GPI Summary'!AZ32</f>
        <v>5709843</v>
      </c>
      <c r="BB34" s="374">
        <f>'GPI Summary'!BA32</f>
        <v>567356</v>
      </c>
      <c r="BC34" s="7">
        <f>SUM(E34:BB34)/D34</f>
        <v>1</v>
      </c>
      <c r="BD34" s="9" t="s">
        <v>129</v>
      </c>
    </row>
    <row r="35" spans="2:56" x14ac:dyDescent="0.2">
      <c r="B35" s="7" t="s">
        <v>93</v>
      </c>
      <c r="C35" s="7" t="s">
        <v>94</v>
      </c>
      <c r="D35" s="375">
        <f t="shared" ref="D35:BB35" si="44">D34/$D$34</f>
        <v>1</v>
      </c>
      <c r="E35" s="376">
        <f t="shared" si="44"/>
        <v>1.5447495252867751E-2</v>
      </c>
      <c r="F35" s="376">
        <f t="shared" si="44"/>
        <v>2.3277576699367612E-3</v>
      </c>
      <c r="G35" s="376">
        <f t="shared" si="44"/>
        <v>2.079731176629053E-2</v>
      </c>
      <c r="H35" s="376">
        <f t="shared" si="44"/>
        <v>9.4497648567928982E-3</v>
      </c>
      <c r="I35" s="376">
        <f t="shared" si="44"/>
        <v>0.1211823613324856</v>
      </c>
      <c r="J35" s="376">
        <f t="shared" si="44"/>
        <v>1.6452782612953874E-2</v>
      </c>
      <c r="K35" s="376">
        <f t="shared" si="44"/>
        <v>1.153400934799902E-2</v>
      </c>
      <c r="L35" s="376">
        <f t="shared" si="44"/>
        <v>2.9203476737260804E-3</v>
      </c>
      <c r="M35" s="376">
        <f t="shared" si="44"/>
        <v>6.1363912538671565E-2</v>
      </c>
      <c r="N35" s="376">
        <f t="shared" si="44"/>
        <v>3.1554484328389011E-2</v>
      </c>
      <c r="O35" s="376">
        <f t="shared" si="44"/>
        <v>4.4317276129531655E-3</v>
      </c>
      <c r="P35" s="376">
        <f t="shared" si="44"/>
        <v>5.0929354339462407E-3</v>
      </c>
      <c r="Q35" s="376">
        <f t="shared" si="44"/>
        <v>4.1353834099804664E-2</v>
      </c>
      <c r="R35" s="376">
        <f t="shared" si="44"/>
        <v>2.0955006045043825E-2</v>
      </c>
      <c r="S35" s="376">
        <f t="shared" si="44"/>
        <v>9.8533905633412817E-3</v>
      </c>
      <c r="T35" s="376">
        <f t="shared" si="44"/>
        <v>9.2304631105173656E-3</v>
      </c>
      <c r="U35" s="376">
        <f t="shared" si="44"/>
        <v>1.4042611529421749E-2</v>
      </c>
      <c r="V35" s="376">
        <f t="shared" si="44"/>
        <v>1.4711334573903679E-2</v>
      </c>
      <c r="W35" s="376">
        <f t="shared" si="44"/>
        <v>4.2722743152660246E-3</v>
      </c>
      <c r="X35" s="376">
        <f t="shared" si="44"/>
        <v>1.8778642986417196E-2</v>
      </c>
      <c r="Y35" s="376">
        <f t="shared" si="44"/>
        <v>2.1246514393038974E-2</v>
      </c>
      <c r="Z35" s="376">
        <f t="shared" si="44"/>
        <v>3.1761389332452511E-2</v>
      </c>
      <c r="AA35" s="376">
        <f t="shared" si="44"/>
        <v>1.719561277138559E-2</v>
      </c>
      <c r="AB35" s="376">
        <f t="shared" si="44"/>
        <v>9.5747773998520417E-3</v>
      </c>
      <c r="AC35" s="376">
        <f t="shared" si="44"/>
        <v>1.9323430766346086E-2</v>
      </c>
      <c r="AD35" s="376">
        <f t="shared" si="44"/>
        <v>3.2082543741784302E-3</v>
      </c>
      <c r="AE35" s="376">
        <f t="shared" si="44"/>
        <v>5.9241763922834242E-3</v>
      </c>
      <c r="AF35" s="376">
        <f t="shared" si="44"/>
        <v>8.7469483594103115E-3</v>
      </c>
      <c r="AG35" s="376">
        <f t="shared" si="44"/>
        <v>4.2377467352061908E-3</v>
      </c>
      <c r="AH35" s="376">
        <f t="shared" si="44"/>
        <v>2.8410480773768697E-2</v>
      </c>
      <c r="AI35" s="376">
        <f t="shared" si="44"/>
        <v>6.6845099146217871E-3</v>
      </c>
      <c r="AJ35" s="376">
        <f t="shared" si="44"/>
        <v>6.2712452988369929E-2</v>
      </c>
      <c r="AK35" s="376">
        <f t="shared" si="44"/>
        <v>3.1035599468957651E-2</v>
      </c>
      <c r="AL35" s="376">
        <f t="shared" si="44"/>
        <v>2.2019572664776308E-3</v>
      </c>
      <c r="AM35" s="376">
        <f t="shared" si="44"/>
        <v>3.7113070984781379E-2</v>
      </c>
      <c r="AN35" s="376">
        <f t="shared" si="44"/>
        <v>1.2168947652226817E-2</v>
      </c>
      <c r="AO35" s="376">
        <f t="shared" si="44"/>
        <v>1.2439283457881093E-2</v>
      </c>
      <c r="AP35" s="376">
        <f t="shared" si="44"/>
        <v>4.0981436606906375E-2</v>
      </c>
      <c r="AQ35" s="376">
        <f t="shared" si="44"/>
        <v>3.3786219502229412E-3</v>
      </c>
      <c r="AR35" s="376">
        <f t="shared" si="44"/>
        <v>1.5028350304317994E-2</v>
      </c>
      <c r="AS35" s="376">
        <f t="shared" si="44"/>
        <v>2.6484747363526469E-3</v>
      </c>
      <c r="AT35" s="376">
        <f t="shared" si="44"/>
        <v>2.0580158145513738E-2</v>
      </c>
      <c r="AU35" s="376">
        <f t="shared" si="44"/>
        <v>8.2425562724306262E-2</v>
      </c>
      <c r="AV35" s="376">
        <f t="shared" si="44"/>
        <v>9.0502553188648548E-3</v>
      </c>
      <c r="AW35" s="376">
        <f t="shared" si="44"/>
        <v>2.0149674438717639E-3</v>
      </c>
      <c r="AX35" s="376">
        <f t="shared" si="44"/>
        <v>2.606172742811147E-2</v>
      </c>
      <c r="AY35" s="376">
        <f t="shared" si="44"/>
        <v>2.1941966807499231E-2</v>
      </c>
      <c r="AZ35" s="376">
        <f t="shared" si="44"/>
        <v>5.9649328931382552E-3</v>
      </c>
      <c r="BA35" s="376">
        <f t="shared" si="44"/>
        <v>1.8361466080989038E-2</v>
      </c>
      <c r="BB35" s="376">
        <f t="shared" si="44"/>
        <v>1.8244788779386084E-3</v>
      </c>
      <c r="BC35" s="8">
        <f>SUM(E35:BB35)</f>
        <v>0.99999999999999989</v>
      </c>
      <c r="BD35" s="9" t="s">
        <v>99</v>
      </c>
    </row>
    <row r="36" spans="2:56" x14ac:dyDescent="0.2">
      <c r="B36" s="7" t="s">
        <v>90</v>
      </c>
      <c r="C36" s="7" t="s">
        <v>98</v>
      </c>
      <c r="D36" s="371">
        <f>'GPI Summary'!C34</f>
        <v>13337587</v>
      </c>
      <c r="E36" s="371">
        <f>'GPI Summary'!D34</f>
        <v>157272</v>
      </c>
      <c r="F36" s="371">
        <f>'GPI Summary'!E34</f>
        <v>44732</v>
      </c>
      <c r="G36" s="371">
        <f>'GPI Summary'!F34</f>
        <v>230641</v>
      </c>
      <c r="H36" s="371">
        <f>'GPI Summary'!G34</f>
        <v>93892</v>
      </c>
      <c r="I36" s="371">
        <f>'GPI Summary'!H34</f>
        <v>1751002</v>
      </c>
      <c r="J36" s="371">
        <f>'GPI Summary'!I34</f>
        <v>239884</v>
      </c>
      <c r="K36" s="371">
        <f>'GPI Summary'!J34</f>
        <v>197202</v>
      </c>
      <c r="L36" s="371">
        <f>'GPI Summary'!K34</f>
        <v>56110</v>
      </c>
      <c r="M36" s="371">
        <f>'GPI Summary'!L34</f>
        <v>672287</v>
      </c>
      <c r="N36" s="371">
        <f>'GPI Summary'!M34</f>
        <v>374000</v>
      </c>
      <c r="O36" s="371">
        <f>'GPI Summary'!N34</f>
        <v>61877</v>
      </c>
      <c r="P36" s="371">
        <f>'GPI Summary'!O34</f>
        <v>50976</v>
      </c>
      <c r="Q36" s="371">
        <f>'GPI Summary'!P34</f>
        <v>594201</v>
      </c>
      <c r="R36" s="371">
        <f>'GPI Summary'!Q34</f>
        <v>255380</v>
      </c>
      <c r="S36" s="371">
        <f>'GPI Summary'!R34</f>
        <v>129799</v>
      </c>
      <c r="T36" s="371">
        <f>'GPI Summary'!S34</f>
        <v>118523</v>
      </c>
      <c r="U36" s="371">
        <f>'GPI Summary'!T34</f>
        <v>146829</v>
      </c>
      <c r="V36" s="371">
        <f>'GPI Summary'!U34</f>
        <v>198548</v>
      </c>
      <c r="W36" s="371">
        <f>'GPI Summary'!V34</f>
        <v>45986</v>
      </c>
      <c r="X36" s="371">
        <f>'GPI Summary'!W34</f>
        <v>274930</v>
      </c>
      <c r="Y36" s="371">
        <f>'GPI Summary'!X34</f>
        <v>353717</v>
      </c>
      <c r="Z36" s="371">
        <f>'GPI Summary'!Y34</f>
        <v>348867</v>
      </c>
      <c r="AA36" s="371">
        <f>'GPI Summary'!Z34</f>
        <v>252971</v>
      </c>
      <c r="AB36" s="371">
        <f>'GPI Summary'!AA34</f>
        <v>86396</v>
      </c>
      <c r="AC36" s="371">
        <f>'GPI Summary'!AB34</f>
        <v>221702</v>
      </c>
      <c r="AD36" s="371">
        <f>'GPI Summary'!AC34</f>
        <v>33374</v>
      </c>
      <c r="AE36" s="371">
        <f>'GPI Summary'!AD34</f>
        <v>83393</v>
      </c>
      <c r="AF36" s="371">
        <f>'GPI Summary'!AE34</f>
        <v>113197</v>
      </c>
      <c r="AG36" s="371">
        <f>'GPI Summary'!AF34</f>
        <v>56735</v>
      </c>
      <c r="AH36" s="371">
        <f>'GPI Summary'!AG34</f>
        <v>438173</v>
      </c>
      <c r="AI36" s="371">
        <f>'GPI Summary'!AH34</f>
        <v>70699</v>
      </c>
      <c r="AJ36" s="371">
        <f>'GPI Summary'!AI34</f>
        <v>1038541</v>
      </c>
      <c r="AK36" s="371">
        <f>'GPI Summary'!AJ34</f>
        <v>392905</v>
      </c>
      <c r="AL36" s="371">
        <f>'GPI Summary'!AK34</f>
        <v>38654</v>
      </c>
      <c r="AM36" s="371">
        <f>'GPI Summary'!AL34</f>
        <v>435104</v>
      </c>
      <c r="AN36" s="371">
        <f>'GPI Summary'!AM34</f>
        <v>138296</v>
      </c>
      <c r="AO36" s="371">
        <f>'GPI Summary'!AN34</f>
        <v>187440</v>
      </c>
      <c r="AP36" s="371">
        <f>'GPI Summary'!AO34</f>
        <v>511345</v>
      </c>
      <c r="AQ36" s="371">
        <f>'GPI Summary'!AP34</f>
        <v>43774</v>
      </c>
      <c r="AR36" s="371">
        <f>'GPI Summary'!AQ34</f>
        <v>150596</v>
      </c>
      <c r="AS36" s="371">
        <f>'GPI Summary'!AR34</f>
        <v>35985</v>
      </c>
      <c r="AT36" s="371">
        <f>'GPI Summary'!AS34</f>
        <v>240523</v>
      </c>
      <c r="AU36" s="371">
        <f>'GPI Summary'!AT34</f>
        <v>1211692</v>
      </c>
      <c r="AV36" s="371">
        <f>'GPI Summary'!AU34</f>
        <v>111808</v>
      </c>
      <c r="AW36" s="371">
        <f>'GPI Summary'!AV34</f>
        <v>23912</v>
      </c>
      <c r="AX36" s="371">
        <f>'GPI Summary'!AW34</f>
        <v>385772</v>
      </c>
      <c r="AY36" s="371">
        <f>'GPI Summary'!AX34</f>
        <v>325165</v>
      </c>
      <c r="AZ36" s="371">
        <f>'GPI Summary'!AY34</f>
        <v>56384</v>
      </c>
      <c r="BA36" s="371">
        <f>'GPI Summary'!AZ34</f>
        <v>225094</v>
      </c>
      <c r="BB36" s="371">
        <f>'GPI Summary'!BA34</f>
        <v>31302</v>
      </c>
      <c r="BC36" s="382">
        <f>SUM(E36:BB36)/D36</f>
        <v>1</v>
      </c>
      <c r="BD36" s="9" t="s">
        <v>100</v>
      </c>
    </row>
    <row r="37" spans="2:56" x14ac:dyDescent="0.2">
      <c r="B37" s="7" t="s">
        <v>91</v>
      </c>
      <c r="C37" s="7" t="s">
        <v>94</v>
      </c>
      <c r="D37" s="375">
        <f t="shared" ref="D37:BB37" si="45">D36/$D$36</f>
        <v>1</v>
      </c>
      <c r="E37" s="376">
        <f t="shared" si="45"/>
        <v>1.1791638172631977E-2</v>
      </c>
      <c r="F37" s="376">
        <f t="shared" si="45"/>
        <v>3.3538300443700948E-3</v>
      </c>
      <c r="G37" s="376">
        <f t="shared" si="45"/>
        <v>1.729255824160697E-2</v>
      </c>
      <c r="H37" s="376">
        <f t="shared" si="45"/>
        <v>7.0396541743270357E-3</v>
      </c>
      <c r="I37" s="376">
        <f t="shared" si="45"/>
        <v>0.13128326735563187</v>
      </c>
      <c r="J37" s="376">
        <f t="shared" si="45"/>
        <v>1.7985562156033173E-2</v>
      </c>
      <c r="K37" s="376">
        <f t="shared" si="45"/>
        <v>1.4785433077212543E-2</v>
      </c>
      <c r="L37" s="376">
        <f t="shared" si="45"/>
        <v>4.206907891210007E-3</v>
      </c>
      <c r="M37" s="376">
        <f t="shared" si="45"/>
        <v>5.0405444403099305E-2</v>
      </c>
      <c r="N37" s="376">
        <f t="shared" si="45"/>
        <v>2.8041054202682988E-2</v>
      </c>
      <c r="O37" s="376">
        <f t="shared" si="45"/>
        <v>4.6392949489289176E-3</v>
      </c>
      <c r="P37" s="376">
        <f t="shared" si="45"/>
        <v>3.82198069260954E-3</v>
      </c>
      <c r="Q37" s="376">
        <f t="shared" si="45"/>
        <v>4.4550862161199023E-2</v>
      </c>
      <c r="R37" s="376">
        <f t="shared" si="45"/>
        <v>1.914739150342562E-2</v>
      </c>
      <c r="S37" s="376">
        <f t="shared" si="45"/>
        <v>9.7318203060268692E-3</v>
      </c>
      <c r="T37" s="376">
        <f t="shared" si="45"/>
        <v>8.8863900194240536E-3</v>
      </c>
      <c r="U37" s="376">
        <f t="shared" si="45"/>
        <v>1.1008662961298772E-2</v>
      </c>
      <c r="V37" s="376">
        <f t="shared" si="45"/>
        <v>1.4886350881909899E-2</v>
      </c>
      <c r="W37" s="376">
        <f t="shared" si="45"/>
        <v>3.4478500496379141E-3</v>
      </c>
      <c r="X37" s="376">
        <f t="shared" si="45"/>
        <v>2.061317388220223E-2</v>
      </c>
      <c r="Y37" s="376">
        <f t="shared" si="45"/>
        <v>2.652031435671235E-2</v>
      </c>
      <c r="Z37" s="376">
        <f t="shared" si="45"/>
        <v>2.615668036504654E-2</v>
      </c>
      <c r="AA37" s="376">
        <f t="shared" si="45"/>
        <v>1.896677412488481E-2</v>
      </c>
      <c r="AB37" s="376">
        <f t="shared" si="45"/>
        <v>6.4776334729812817E-3</v>
      </c>
      <c r="AC37" s="376">
        <f t="shared" si="45"/>
        <v>1.6622347055730544E-2</v>
      </c>
      <c r="AD37" s="376">
        <f t="shared" si="45"/>
        <v>2.5022517191452998E-3</v>
      </c>
      <c r="AE37" s="376">
        <f t="shared" si="45"/>
        <v>6.2524803024715039E-3</v>
      </c>
      <c r="AF37" s="376">
        <f t="shared" si="45"/>
        <v>8.4870674133184654E-3</v>
      </c>
      <c r="AG37" s="376">
        <f t="shared" si="45"/>
        <v>4.2537679416824051E-3</v>
      </c>
      <c r="AH37" s="376">
        <f t="shared" si="45"/>
        <v>3.2852494233027309E-2</v>
      </c>
      <c r="AI37" s="376">
        <f t="shared" si="45"/>
        <v>5.300733933356911E-3</v>
      </c>
      <c r="AJ37" s="376">
        <f t="shared" si="45"/>
        <v>7.7865733884247584E-2</v>
      </c>
      <c r="AK37" s="376">
        <f t="shared" si="45"/>
        <v>2.9458477009372087E-2</v>
      </c>
      <c r="AL37" s="376">
        <f t="shared" si="45"/>
        <v>2.8981254255361182E-3</v>
      </c>
      <c r="AM37" s="376">
        <f t="shared" si="45"/>
        <v>3.2622392641187645E-2</v>
      </c>
      <c r="AN37" s="376">
        <f t="shared" si="45"/>
        <v>1.0368892064209215E-2</v>
      </c>
      <c r="AO37" s="376">
        <f t="shared" si="45"/>
        <v>1.4053516576874063E-2</v>
      </c>
      <c r="AP37" s="376">
        <f t="shared" si="45"/>
        <v>3.8338644014093405E-2</v>
      </c>
      <c r="AQ37" s="376">
        <f t="shared" si="45"/>
        <v>3.2820029590060031E-3</v>
      </c>
      <c r="AR37" s="376">
        <f t="shared" si="45"/>
        <v>1.1291097857506009E-2</v>
      </c>
      <c r="AS37" s="376">
        <f t="shared" si="45"/>
        <v>2.6980142659987897E-3</v>
      </c>
      <c r="AT37" s="376">
        <f t="shared" si="45"/>
        <v>1.8033471871636151E-2</v>
      </c>
      <c r="AU37" s="376">
        <f t="shared" si="45"/>
        <v>9.0847917243201487E-2</v>
      </c>
      <c r="AV37" s="376">
        <f t="shared" si="45"/>
        <v>8.3829256371486093E-3</v>
      </c>
      <c r="AW37" s="376">
        <f t="shared" si="45"/>
        <v>1.7928280430335713E-3</v>
      </c>
      <c r="AX37" s="376">
        <f t="shared" si="45"/>
        <v>2.89236726253407E-2</v>
      </c>
      <c r="AY37" s="376">
        <f t="shared" si="45"/>
        <v>2.4379597298971694E-2</v>
      </c>
      <c r="AZ37" s="376">
        <f t="shared" si="45"/>
        <v>4.2274513373371063E-3</v>
      </c>
      <c r="BA37" s="376">
        <f t="shared" si="45"/>
        <v>1.6876665921654346E-2</v>
      </c>
      <c r="BB37" s="376">
        <f t="shared" si="45"/>
        <v>2.3469012798192058E-3</v>
      </c>
      <c r="BC37" s="11">
        <f>SUM(E37:BB37)</f>
        <v>1</v>
      </c>
    </row>
    <row r="38" spans="2:56" x14ac:dyDescent="0.2">
      <c r="B38" s="7" t="s">
        <v>101</v>
      </c>
      <c r="C38" s="7" t="s">
        <v>98</v>
      </c>
      <c r="D38" s="377">
        <f>(D36*1000000)/D34</f>
        <v>42890.435219101535</v>
      </c>
      <c r="E38" s="377">
        <f>(E36*1000000)/E34</f>
        <v>32739.838070283069</v>
      </c>
      <c r="F38" s="377">
        <f t="shared" ref="F38:BB38" si="46">(F36*1000000)/F34</f>
        <v>61796.479982317025</v>
      </c>
      <c r="G38" s="377">
        <f t="shared" si="46"/>
        <v>35662.558573380142</v>
      </c>
      <c r="H38" s="377">
        <f t="shared" si="46"/>
        <v>31951.465026329024</v>
      </c>
      <c r="I38" s="377">
        <f t="shared" si="46"/>
        <v>46465.479067697102</v>
      </c>
      <c r="J38" s="377">
        <f t="shared" si="46"/>
        <v>46886.208046358486</v>
      </c>
      <c r="K38" s="377">
        <f t="shared" si="46"/>
        <v>54981.198683921815</v>
      </c>
      <c r="L38" s="377">
        <f t="shared" si="46"/>
        <v>61785.831873384741</v>
      </c>
      <c r="M38" s="377">
        <f t="shared" si="46"/>
        <v>35230.990959038296</v>
      </c>
      <c r="N38" s="377">
        <f t="shared" si="46"/>
        <v>38114.805053982389</v>
      </c>
      <c r="O38" s="377">
        <f t="shared" si="46"/>
        <v>44899.28011093301</v>
      </c>
      <c r="P38" s="377">
        <f t="shared" si="46"/>
        <v>32187.020124464561</v>
      </c>
      <c r="Q38" s="377">
        <f t="shared" si="46"/>
        <v>46206.256543672069</v>
      </c>
      <c r="R38" s="377">
        <f t="shared" si="46"/>
        <v>39190.633165514511</v>
      </c>
      <c r="S38" s="377">
        <f t="shared" si="46"/>
        <v>42361.256840106566</v>
      </c>
      <c r="T38" s="377">
        <f t="shared" si="46"/>
        <v>41291.659031224372</v>
      </c>
      <c r="U38" s="377">
        <f t="shared" si="46"/>
        <v>33623.827348726096</v>
      </c>
      <c r="V38" s="377">
        <f t="shared" si="46"/>
        <v>43400.689783914633</v>
      </c>
      <c r="W38" s="377">
        <f t="shared" si="46"/>
        <v>34613.832887732737</v>
      </c>
      <c r="X38" s="377">
        <f t="shared" si="46"/>
        <v>47080.505215108227</v>
      </c>
      <c r="Y38" s="377">
        <f t="shared" si="46"/>
        <v>53536.679187219983</v>
      </c>
      <c r="Z38" s="377">
        <f t="shared" si="46"/>
        <v>35321.861805254557</v>
      </c>
      <c r="AA38" s="377">
        <f t="shared" si="46"/>
        <v>47308.183065880548</v>
      </c>
      <c r="AB38" s="377">
        <f t="shared" si="46"/>
        <v>29016.707881927428</v>
      </c>
      <c r="AC38" s="377">
        <f t="shared" si="46"/>
        <v>36895.089086607652</v>
      </c>
      <c r="AD38" s="377">
        <f t="shared" si="46"/>
        <v>33452.043617760231</v>
      </c>
      <c r="AE38" s="377">
        <f t="shared" si="46"/>
        <v>45267.3221751417</v>
      </c>
      <c r="AF38" s="377">
        <f t="shared" si="46"/>
        <v>41616.115716455861</v>
      </c>
      <c r="AG38" s="377">
        <f t="shared" si="46"/>
        <v>43052.586607902369</v>
      </c>
      <c r="AH38" s="377">
        <f t="shared" si="46"/>
        <v>49596.407287431153</v>
      </c>
      <c r="AI38" s="377">
        <f t="shared" si="46"/>
        <v>34011.586232376983</v>
      </c>
      <c r="AJ38" s="377">
        <f t="shared" si="46"/>
        <v>53254.099557698195</v>
      </c>
      <c r="AK38" s="377">
        <f t="shared" si="46"/>
        <v>40710.89076554255</v>
      </c>
      <c r="AL38" s="377">
        <f t="shared" si="46"/>
        <v>56450.623594356985</v>
      </c>
      <c r="AM38" s="377">
        <f t="shared" si="46"/>
        <v>37700.696308389728</v>
      </c>
      <c r="AN38" s="377">
        <f t="shared" si="46"/>
        <v>36545.994451084691</v>
      </c>
      <c r="AO38" s="377">
        <f t="shared" si="46"/>
        <v>48456.283224183469</v>
      </c>
      <c r="AP38" s="377">
        <f t="shared" si="46"/>
        <v>40124.535975821622</v>
      </c>
      <c r="AQ38" s="377">
        <f t="shared" si="46"/>
        <v>41663.890596832804</v>
      </c>
      <c r="AR38" s="377">
        <f t="shared" si="46"/>
        <v>32224.435244283115</v>
      </c>
      <c r="AS38" s="377">
        <f t="shared" si="46"/>
        <v>43692.697728125422</v>
      </c>
      <c r="AT38" s="377">
        <f t="shared" si="46"/>
        <v>37582.969558205608</v>
      </c>
      <c r="AU38" s="377">
        <f t="shared" si="46"/>
        <v>47273.037399122295</v>
      </c>
      <c r="AV38" s="377">
        <f t="shared" si="46"/>
        <v>39727.865824647779</v>
      </c>
      <c r="AW38" s="377">
        <f t="shared" si="46"/>
        <v>38161.993769470406</v>
      </c>
      <c r="AX38" s="377">
        <f t="shared" si="46"/>
        <v>47600.409852247867</v>
      </c>
      <c r="AY38" s="377">
        <f t="shared" si="46"/>
        <v>47655.324055177676</v>
      </c>
      <c r="AZ38" s="377">
        <f t="shared" si="46"/>
        <v>30397.194901310468</v>
      </c>
      <c r="BA38" s="377">
        <f t="shared" si="46"/>
        <v>39422.099696961894</v>
      </c>
      <c r="BB38" s="377">
        <f t="shared" si="46"/>
        <v>55171.708768392331</v>
      </c>
      <c r="BC38" s="12">
        <f>AVERAGE(E38:BB38)/D38</f>
        <v>0.98546966918288725</v>
      </c>
    </row>
    <row r="39" spans="2:56" x14ac:dyDescent="0.2">
      <c r="B39" s="7" t="s">
        <v>101</v>
      </c>
      <c r="C39" s="7" t="s">
        <v>102</v>
      </c>
      <c r="D39" s="378" t="s">
        <v>103</v>
      </c>
      <c r="E39" s="383">
        <f t="shared" ref="E39:AJ39" si="47">RANK(E38,$E$38:$BB$38)</f>
        <v>45</v>
      </c>
      <c r="F39" s="383">
        <f t="shared" si="47"/>
        <v>1</v>
      </c>
      <c r="G39" s="383">
        <f t="shared" si="47"/>
        <v>38</v>
      </c>
      <c r="H39" s="383">
        <f t="shared" si="47"/>
        <v>48</v>
      </c>
      <c r="I39" s="383">
        <f t="shared" si="47"/>
        <v>16</v>
      </c>
      <c r="J39" s="383">
        <f t="shared" si="47"/>
        <v>15</v>
      </c>
      <c r="K39" s="383">
        <f t="shared" si="47"/>
        <v>5</v>
      </c>
      <c r="L39" s="383">
        <f t="shared" si="47"/>
        <v>2</v>
      </c>
      <c r="M39" s="383">
        <f t="shared" si="47"/>
        <v>40</v>
      </c>
      <c r="N39" s="383">
        <f t="shared" si="47"/>
        <v>33</v>
      </c>
      <c r="O39" s="383">
        <f t="shared" si="47"/>
        <v>19</v>
      </c>
      <c r="P39" s="383">
        <f t="shared" si="47"/>
        <v>47</v>
      </c>
      <c r="Q39" s="383">
        <f t="shared" si="47"/>
        <v>17</v>
      </c>
      <c r="R39" s="383">
        <f t="shared" si="47"/>
        <v>31</v>
      </c>
      <c r="S39" s="383">
        <f t="shared" si="47"/>
        <v>23</v>
      </c>
      <c r="T39" s="383">
        <f t="shared" si="47"/>
        <v>26</v>
      </c>
      <c r="U39" s="383">
        <f t="shared" si="47"/>
        <v>43</v>
      </c>
      <c r="V39" s="383">
        <f t="shared" si="47"/>
        <v>21</v>
      </c>
      <c r="W39" s="383">
        <f t="shared" si="47"/>
        <v>41</v>
      </c>
      <c r="X39" s="383">
        <f t="shared" si="47"/>
        <v>14</v>
      </c>
      <c r="Y39" s="383">
        <f t="shared" si="47"/>
        <v>6</v>
      </c>
      <c r="Z39" s="383">
        <f t="shared" si="47"/>
        <v>39</v>
      </c>
      <c r="AA39" s="383">
        <f t="shared" si="47"/>
        <v>12</v>
      </c>
      <c r="AB39" s="383">
        <f t="shared" si="47"/>
        <v>50</v>
      </c>
      <c r="AC39" s="383">
        <f t="shared" si="47"/>
        <v>36</v>
      </c>
      <c r="AD39" s="383">
        <f t="shared" si="47"/>
        <v>44</v>
      </c>
      <c r="AE39" s="383">
        <f t="shared" si="47"/>
        <v>18</v>
      </c>
      <c r="AF39" s="383">
        <f t="shared" si="47"/>
        <v>25</v>
      </c>
      <c r="AG39" s="383">
        <f t="shared" si="47"/>
        <v>22</v>
      </c>
      <c r="AH39" s="383">
        <f t="shared" si="47"/>
        <v>8</v>
      </c>
      <c r="AI39" s="383">
        <f t="shared" si="47"/>
        <v>42</v>
      </c>
      <c r="AJ39" s="383">
        <f t="shared" si="47"/>
        <v>7</v>
      </c>
      <c r="AK39" s="383">
        <f t="shared" ref="AK39:BB39" si="48">RANK(AK38,$E$38:$BB$38)</f>
        <v>27</v>
      </c>
      <c r="AL39" s="383">
        <f t="shared" si="48"/>
        <v>3</v>
      </c>
      <c r="AM39" s="383">
        <f t="shared" si="48"/>
        <v>34</v>
      </c>
      <c r="AN39" s="383">
        <f t="shared" si="48"/>
        <v>37</v>
      </c>
      <c r="AO39" s="383">
        <f t="shared" si="48"/>
        <v>9</v>
      </c>
      <c r="AP39" s="383">
        <f t="shared" si="48"/>
        <v>28</v>
      </c>
      <c r="AQ39" s="383">
        <f t="shared" si="48"/>
        <v>24</v>
      </c>
      <c r="AR39" s="383">
        <f t="shared" si="48"/>
        <v>46</v>
      </c>
      <c r="AS39" s="383">
        <f t="shared" si="48"/>
        <v>20</v>
      </c>
      <c r="AT39" s="383">
        <f t="shared" si="48"/>
        <v>35</v>
      </c>
      <c r="AU39" s="383">
        <f t="shared" si="48"/>
        <v>13</v>
      </c>
      <c r="AV39" s="383">
        <f t="shared" si="48"/>
        <v>29</v>
      </c>
      <c r="AW39" s="383">
        <f t="shared" si="48"/>
        <v>32</v>
      </c>
      <c r="AX39" s="383">
        <f t="shared" si="48"/>
        <v>11</v>
      </c>
      <c r="AY39" s="383">
        <f t="shared" si="48"/>
        <v>10</v>
      </c>
      <c r="AZ39" s="383">
        <f t="shared" si="48"/>
        <v>49</v>
      </c>
      <c r="BA39" s="383">
        <f t="shared" si="48"/>
        <v>30</v>
      </c>
      <c r="BB39" s="383">
        <f t="shared" si="48"/>
        <v>4</v>
      </c>
      <c r="BC39" s="13"/>
    </row>
    <row r="40" spans="2:56" x14ac:dyDescent="0.2">
      <c r="B40" s="207" t="s">
        <v>1000</v>
      </c>
      <c r="C40" s="7" t="s">
        <v>1001</v>
      </c>
      <c r="D40" s="379">
        <f t="shared" ref="D40:AH40" si="49">D6*1000000000/D34</f>
        <v>55617.501585093189</v>
      </c>
      <c r="E40" s="379">
        <f t="shared" si="49"/>
        <v>-196315.02051340998</v>
      </c>
      <c r="F40" s="379">
        <f t="shared" si="49"/>
        <v>90230940.051680416</v>
      </c>
      <c r="G40" s="379">
        <f t="shared" si="49"/>
        <v>2638258.3077328904</v>
      </c>
      <c r="H40" s="379">
        <f t="shared" si="49"/>
        <v>265230.44284747972</v>
      </c>
      <c r="I40" s="379">
        <f t="shared" si="49"/>
        <v>648156.52447581652</v>
      </c>
      <c r="J40" s="379">
        <f t="shared" si="49"/>
        <v>4196776.0628160173</v>
      </c>
      <c r="K40" s="379">
        <f t="shared" si="49"/>
        <v>8339205.4632536815</v>
      </c>
      <c r="L40" s="379">
        <f t="shared" si="49"/>
        <v>24564144.044067614</v>
      </c>
      <c r="M40" s="379">
        <f t="shared" si="49"/>
        <v>1036094.5307773916</v>
      </c>
      <c r="N40" s="379">
        <f t="shared" si="49"/>
        <v>1237102.7520931116</v>
      </c>
      <c r="O40" s="379">
        <f t="shared" si="49"/>
        <v>21617182.949607681</v>
      </c>
      <c r="P40" s="379">
        <f t="shared" si="49"/>
        <v>12221228.366473272</v>
      </c>
      <c r="Q40" s="379">
        <f t="shared" si="49"/>
        <v>1395366.7285505212</v>
      </c>
      <c r="R40" s="379">
        <f t="shared" si="49"/>
        <v>1110732.8857790919</v>
      </c>
      <c r="S40" s="379">
        <f t="shared" si="49"/>
        <v>3530108.1435830565</v>
      </c>
      <c r="T40" s="379">
        <f t="shared" si="49"/>
        <v>4216028.9783498878</v>
      </c>
      <c r="U40" s="379">
        <f t="shared" si="49"/>
        <v>481752.02787382272</v>
      </c>
      <c r="V40" s="379">
        <f t="shared" si="49"/>
        <v>-2096901.2773776101</v>
      </c>
      <c r="W40" s="379">
        <f t="shared" si="49"/>
        <v>16092550.27512081</v>
      </c>
      <c r="X40" s="379">
        <f t="shared" si="49"/>
        <v>4698312.6969911344</v>
      </c>
      <c r="Y40" s="379">
        <f t="shared" si="49"/>
        <v>5301921.980055809</v>
      </c>
      <c r="Z40" s="379">
        <f t="shared" si="49"/>
        <v>1665861.7920409173</v>
      </c>
      <c r="AA40" s="379">
        <f t="shared" si="49"/>
        <v>4121665.5062099365</v>
      </c>
      <c r="AB40" s="379">
        <f t="shared" si="49"/>
        <v>111672.98446277538</v>
      </c>
      <c r="AC40" s="379">
        <f t="shared" si="49"/>
        <v>2121661.0544004561</v>
      </c>
      <c r="AD40" s="379">
        <f t="shared" si="49"/>
        <v>13950639.563916348</v>
      </c>
      <c r="AE40" s="379">
        <f t="shared" si="49"/>
        <v>7173889.2152970405</v>
      </c>
      <c r="AF40" s="379">
        <f t="shared" si="49"/>
        <v>9092775.570533419</v>
      </c>
      <c r="AG40" s="379">
        <f t="shared" si="49"/>
        <v>20668268.434913356</v>
      </c>
      <c r="AH40" s="379">
        <f t="shared" si="49"/>
        <v>3044529.0613573287</v>
      </c>
      <c r="AI40" s="379">
        <f t="shared" ref="AI40:BB40" si="50">AI6*1000000000/AI34</f>
        <v>4413800.6929764263</v>
      </c>
      <c r="AJ40" s="379">
        <f t="shared" si="50"/>
        <v>1479087.9137686493</v>
      </c>
      <c r="AK40" s="379">
        <f t="shared" si="50"/>
        <v>1356420.5780306421</v>
      </c>
      <c r="AL40" s="379">
        <f t="shared" si="50"/>
        <v>-11128803.472988408</v>
      </c>
      <c r="AM40" s="379">
        <f t="shared" si="50"/>
        <v>1275220.9976941098</v>
      </c>
      <c r="AN40" s="379">
        <f t="shared" si="50"/>
        <v>1578867.3181681682</v>
      </c>
      <c r="AO40" s="379">
        <f t="shared" si="50"/>
        <v>6444347.8841451565</v>
      </c>
      <c r="AP40" s="379">
        <f t="shared" si="50"/>
        <v>1288294.7650925531</v>
      </c>
      <c r="AQ40" s="379">
        <f t="shared" si="50"/>
        <v>25729705.870267738</v>
      </c>
      <c r="AR40" s="379">
        <f t="shared" si="50"/>
        <v>1523927.5368430438</v>
      </c>
      <c r="AS40" s="379">
        <f t="shared" si="50"/>
        <v>27640260.79247687</v>
      </c>
      <c r="AT40" s="379">
        <f t="shared" si="50"/>
        <v>1790221.7887658535</v>
      </c>
      <c r="AU40" s="379">
        <f t="shared" si="50"/>
        <v>240394.62918351943</v>
      </c>
      <c r="AV40" s="379">
        <f t="shared" si="50"/>
        <v>5995166.841231388</v>
      </c>
      <c r="AW40" s="379">
        <f t="shared" si="50"/>
        <v>40665334.722456761</v>
      </c>
      <c r="AX40" s="379">
        <f t="shared" si="50"/>
        <v>2765083.5413120319</v>
      </c>
      <c r="AY40" s="379">
        <f t="shared" si="50"/>
        <v>4273278.0744213155</v>
      </c>
      <c r="AZ40" s="379">
        <f t="shared" si="50"/>
        <v>-2654720.2549205055</v>
      </c>
      <c r="BA40" s="379">
        <f t="shared" si="50"/>
        <v>2987257.431491578</v>
      </c>
      <c r="BB40" s="379">
        <f t="shared" si="50"/>
        <v>-56230826.741259806</v>
      </c>
    </row>
    <row r="41" spans="2:56" x14ac:dyDescent="0.2">
      <c r="B41" s="7" t="s">
        <v>1002</v>
      </c>
      <c r="C41" s="7" t="s">
        <v>1001</v>
      </c>
      <c r="D41" s="379">
        <f>((D22-D23-D24-D25+D26-D27+D28+D29-D30-D31)/D34)*10000000000</f>
        <v>87167.45068267177</v>
      </c>
      <c r="E41" s="379">
        <f t="shared" ref="E41:BB41" si="51">((E22-E23-E24-E25+E26-E27+E28+E29-E30-E31)/E34)*10000000000</f>
        <v>-4157269.7337443735</v>
      </c>
      <c r="F41" s="379">
        <f t="shared" si="51"/>
        <v>44898757.504362278</v>
      </c>
      <c r="G41" s="379">
        <f t="shared" si="51"/>
        <v>1102323.5183268019</v>
      </c>
      <c r="H41" s="379">
        <f t="shared" si="51"/>
        <v>-5890644.7935414398</v>
      </c>
      <c r="I41" s="379">
        <f t="shared" si="51"/>
        <v>1116447.6883558966</v>
      </c>
      <c r="J41" s="379">
        <f t="shared" si="51"/>
        <v>8835627.9480419382</v>
      </c>
      <c r="K41" s="379">
        <f t="shared" si="51"/>
        <v>16749293.671436381</v>
      </c>
      <c r="L41" s="379">
        <f t="shared" si="51"/>
        <v>17831805.187370483</v>
      </c>
      <c r="M41" s="379">
        <f t="shared" si="51"/>
        <v>537174.65905403497</v>
      </c>
      <c r="N41" s="379">
        <f t="shared" si="51"/>
        <v>727826.50349756656</v>
      </c>
      <c r="O41" s="379">
        <f t="shared" si="51"/>
        <v>51733381.32539589</v>
      </c>
      <c r="P41" s="379">
        <f t="shared" si="51"/>
        <v>18533238.458410133</v>
      </c>
      <c r="Q41" s="379">
        <f t="shared" si="51"/>
        <v>3459611.6415249188</v>
      </c>
      <c r="R41" s="379">
        <f t="shared" si="51"/>
        <v>1792526.6894936771</v>
      </c>
      <c r="S41" s="379">
        <f t="shared" si="51"/>
        <v>10325379.583587635</v>
      </c>
      <c r="T41" s="379">
        <f t="shared" si="51"/>
        <v>9415654.790974861</v>
      </c>
      <c r="U41" s="379">
        <f t="shared" si="51"/>
        <v>-2416272.0890629054</v>
      </c>
      <c r="V41" s="379">
        <f t="shared" si="51"/>
        <v>-2436590.6130857593</v>
      </c>
      <c r="W41" s="379">
        <f t="shared" si="51"/>
        <v>28459013.639397025</v>
      </c>
      <c r="X41" s="379">
        <f t="shared" si="51"/>
        <v>5744404.2131923791</v>
      </c>
      <c r="Y41" s="379">
        <f t="shared" si="51"/>
        <v>11350064.217825452</v>
      </c>
      <c r="Z41" s="379">
        <f t="shared" si="51"/>
        <v>3711223.2642736048</v>
      </c>
      <c r="AA41" s="379">
        <f t="shared" si="51"/>
        <v>10697919.648726219</v>
      </c>
      <c r="AB41" s="379">
        <f t="shared" si="51"/>
        <v>-11603278.407600861</v>
      </c>
      <c r="AC41" s="379">
        <f t="shared" si="51"/>
        <v>2013923.8554559401</v>
      </c>
      <c r="AD41" s="379">
        <f t="shared" si="51"/>
        <v>13286316.856780641</v>
      </c>
      <c r="AE41" s="379">
        <f t="shared" si="51"/>
        <v>24317294.819018479</v>
      </c>
      <c r="AF41" s="379">
        <f t="shared" si="51"/>
        <v>17051684.581413716</v>
      </c>
      <c r="AG41" s="379">
        <f t="shared" si="51"/>
        <v>39805068.212077573</v>
      </c>
      <c r="AH41" s="379">
        <f t="shared" si="51"/>
        <v>5080098.3208100162</v>
      </c>
      <c r="AI41" s="379">
        <f t="shared" si="51"/>
        <v>-188776.17432046426</v>
      </c>
      <c r="AJ41" s="379">
        <f t="shared" si="51"/>
        <v>3565201.6324024494</v>
      </c>
      <c r="AK41" s="379">
        <f t="shared" si="51"/>
        <v>1069095.8110746646</v>
      </c>
      <c r="AL41" s="379">
        <f t="shared" si="51"/>
        <v>45200380.542321689</v>
      </c>
      <c r="AM41" s="379">
        <f t="shared" si="51"/>
        <v>2587227.3619497805</v>
      </c>
      <c r="AN41" s="379">
        <f t="shared" si="51"/>
        <v>-3898773.833114034</v>
      </c>
      <c r="AO41" s="379">
        <f t="shared" si="51"/>
        <v>11722151.648410996</v>
      </c>
      <c r="AP41" s="379">
        <f t="shared" si="51"/>
        <v>2132393.8304435508</v>
      </c>
      <c r="AQ41" s="379">
        <f t="shared" si="51"/>
        <v>55400681.6386998</v>
      </c>
      <c r="AR41" s="379">
        <f t="shared" si="51"/>
        <v>-3206931.4108025567</v>
      </c>
      <c r="AS41" s="379">
        <f t="shared" si="51"/>
        <v>69228710.618283778</v>
      </c>
      <c r="AT41" s="379">
        <f t="shared" si="51"/>
        <v>-672160.31608486816</v>
      </c>
      <c r="AU41" s="379">
        <f t="shared" si="51"/>
        <v>188495.85123245817</v>
      </c>
      <c r="AV41" s="379">
        <f t="shared" si="51"/>
        <v>9960402.7167756166</v>
      </c>
      <c r="AW41" s="379">
        <f t="shared" si="51"/>
        <v>94072760.313918009</v>
      </c>
      <c r="AX41" s="379">
        <f t="shared" si="51"/>
        <v>3548659.7536300169</v>
      </c>
      <c r="AY41" s="379">
        <f t="shared" si="51"/>
        <v>7817903.5933636418</v>
      </c>
      <c r="AZ41" s="379">
        <f t="shared" si="51"/>
        <v>-7919655.0604939582</v>
      </c>
      <c r="BA41" s="379">
        <f t="shared" si="51"/>
        <v>5106156.2991213808</v>
      </c>
      <c r="BB41" s="379">
        <f t="shared" si="51"/>
        <v>-50848419.004785202</v>
      </c>
    </row>
    <row r="44" spans="2:56" x14ac:dyDescent="0.2">
      <c r="B44" s="7" t="s">
        <v>1003</v>
      </c>
      <c r="C44" s="7" t="s">
        <v>1001</v>
      </c>
      <c r="E44" s="372">
        <f>E21*100000000/E34</f>
        <v>288798.62135148508</v>
      </c>
      <c r="F44" s="372">
        <f t="shared" ref="F44:BB44" si="52">F21*100000000/F34</f>
        <v>3159359.3017057129</v>
      </c>
      <c r="G44" s="372">
        <f t="shared" si="52"/>
        <v>113262.8988482507</v>
      </c>
      <c r="H44" s="372">
        <f t="shared" si="52"/>
        <v>366948.76404556946</v>
      </c>
      <c r="I44" s="372">
        <f t="shared" si="52"/>
        <v>12069.616071279645</v>
      </c>
      <c r="J44" s="372">
        <f t="shared" si="52"/>
        <v>142323.8323222113</v>
      </c>
      <c r="K44" s="372">
        <f t="shared" si="52"/>
        <v>165991.85029480697</v>
      </c>
      <c r="L44" s="372">
        <f t="shared" si="52"/>
        <v>688057.88511295954</v>
      </c>
      <c r="M44" s="372">
        <f t="shared" si="52"/>
        <v>29668.570847230145</v>
      </c>
      <c r="N44" s="372">
        <f t="shared" si="52"/>
        <v>75321.931256590673</v>
      </c>
      <c r="O44" s="372">
        <f t="shared" si="52"/>
        <v>396284.48113831028</v>
      </c>
      <c r="P44" s="372">
        <f t="shared" si="52"/>
        <v>269251.16220427683</v>
      </c>
      <c r="Q44" s="372">
        <f t="shared" si="52"/>
        <v>74631.713945300187</v>
      </c>
      <c r="R44" s="372">
        <f t="shared" si="52"/>
        <v>185726.89798492895</v>
      </c>
      <c r="S44" s="372">
        <f t="shared" si="52"/>
        <v>369139.96932765946</v>
      </c>
      <c r="T44" s="372">
        <f t="shared" si="52"/>
        <v>385119.83799332113</v>
      </c>
      <c r="U44" s="372">
        <f t="shared" si="52"/>
        <v>286512.92077012936</v>
      </c>
      <c r="V44" s="372">
        <f t="shared" si="52"/>
        <v>505612.59014013031</v>
      </c>
      <c r="W44" s="372">
        <f t="shared" si="52"/>
        <v>475912.85176941293</v>
      </c>
      <c r="X44" s="372">
        <f t="shared" si="52"/>
        <v>89876.916845212385</v>
      </c>
      <c r="Y44" s="372">
        <f t="shared" si="52"/>
        <v>74243.982655646701</v>
      </c>
      <c r="Z44" s="372">
        <f t="shared" si="52"/>
        <v>77531.574133357251</v>
      </c>
      <c r="AA44" s="372">
        <f t="shared" si="52"/>
        <v>149353.59991997364</v>
      </c>
      <c r="AB44" s="372">
        <f t="shared" si="52"/>
        <v>345579.42725722742</v>
      </c>
      <c r="AC44" s="372">
        <f t="shared" si="52"/>
        <v>149476.53079496455</v>
      </c>
      <c r="AD44" s="372">
        <f t="shared" si="52"/>
        <v>1201162.4472636066</v>
      </c>
      <c r="AE44" s="372">
        <f t="shared" si="52"/>
        <v>653442.36104132095</v>
      </c>
      <c r="AF44" s="372">
        <f t="shared" si="52"/>
        <v>214343.69263890618</v>
      </c>
      <c r="AG44" s="372">
        <f t="shared" si="52"/>
        <v>592920.47624800191</v>
      </c>
      <c r="AH44" s="372">
        <f t="shared" si="52"/>
        <v>78118.44671609145</v>
      </c>
      <c r="AI44" s="372">
        <f t="shared" si="52"/>
        <v>528717.82175451168</v>
      </c>
      <c r="AJ44" s="372">
        <f t="shared" si="52"/>
        <v>23314.493723102161</v>
      </c>
      <c r="AK44" s="372">
        <f t="shared" si="52"/>
        <v>68056.745932401798</v>
      </c>
      <c r="AL44" s="372">
        <f t="shared" si="52"/>
        <v>4052202.1433657459</v>
      </c>
      <c r="AM44" s="372">
        <f t="shared" si="52"/>
        <v>72797.741164045758</v>
      </c>
      <c r="AN44" s="372">
        <f t="shared" si="52"/>
        <v>317145.12311768858</v>
      </c>
      <c r="AO44" s="372">
        <f t="shared" si="52"/>
        <v>106263.92593145171</v>
      </c>
      <c r="AP44" s="372">
        <f t="shared" si="52"/>
        <v>76808.264273587934</v>
      </c>
      <c r="AQ44" s="372">
        <f t="shared" si="52"/>
        <v>478087.79500476603</v>
      </c>
      <c r="AR44" s="372">
        <f t="shared" si="52"/>
        <v>225521.82392381775</v>
      </c>
      <c r="AS44" s="372">
        <f t="shared" si="52"/>
        <v>886754.22956073727</v>
      </c>
      <c r="AT44" s="372">
        <f t="shared" si="52"/>
        <v>120229.87171441116</v>
      </c>
      <c r="AU44" s="372">
        <f t="shared" si="52"/>
        <v>50013.35146862828</v>
      </c>
      <c r="AV44" s="372">
        <f t="shared" si="52"/>
        <v>315573.73292817629</v>
      </c>
      <c r="AW44" s="372">
        <f t="shared" si="52"/>
        <v>1111221.0345690756</v>
      </c>
      <c r="AX44" s="372">
        <f t="shared" si="52"/>
        <v>74361.366940747583</v>
      </c>
      <c r="AY44" s="372">
        <f t="shared" si="52"/>
        <v>63036.55690557976</v>
      </c>
      <c r="AZ44" s="372">
        <f t="shared" si="52"/>
        <v>999153.71918521181</v>
      </c>
      <c r="BA44" s="372">
        <f t="shared" si="52"/>
        <v>131867.40980684667</v>
      </c>
      <c r="BB44" s="372">
        <f t="shared" si="52"/>
        <v>7284777.4413796673</v>
      </c>
    </row>
    <row r="46" spans="2:56" x14ac:dyDescent="0.2">
      <c r="D46" s="18" t="s">
        <v>95</v>
      </c>
      <c r="E46" s="18" t="s">
        <v>170</v>
      </c>
      <c r="F46" s="18" t="s">
        <v>171</v>
      </c>
      <c r="G46" s="18" t="s">
        <v>172</v>
      </c>
      <c r="H46" s="18" t="s">
        <v>173</v>
      </c>
      <c r="I46" s="18" t="s">
        <v>174</v>
      </c>
      <c r="J46" s="18" t="s">
        <v>175</v>
      </c>
      <c r="K46" s="18" t="s">
        <v>176</v>
      </c>
      <c r="L46" s="18" t="s">
        <v>177</v>
      </c>
      <c r="M46" s="18" t="s">
        <v>178</v>
      </c>
      <c r="N46" s="18" t="s">
        <v>179</v>
      </c>
      <c r="O46" s="18" t="s">
        <v>180</v>
      </c>
      <c r="P46" s="18" t="s">
        <v>181</v>
      </c>
      <c r="Q46" s="18" t="s">
        <v>182</v>
      </c>
      <c r="R46" s="18" t="s">
        <v>183</v>
      </c>
      <c r="S46" s="18" t="s">
        <v>184</v>
      </c>
      <c r="T46" s="18" t="s">
        <v>185</v>
      </c>
      <c r="U46" s="18" t="s">
        <v>186</v>
      </c>
      <c r="V46" s="18" t="s">
        <v>187</v>
      </c>
      <c r="W46" s="18" t="s">
        <v>188</v>
      </c>
      <c r="X46" s="18" t="s">
        <v>189</v>
      </c>
      <c r="Y46" s="18" t="s">
        <v>190</v>
      </c>
      <c r="Z46" s="18" t="s">
        <v>191</v>
      </c>
      <c r="AA46" s="18" t="s">
        <v>192</v>
      </c>
      <c r="AB46" s="18" t="s">
        <v>193</v>
      </c>
      <c r="AC46" s="18" t="s">
        <v>194</v>
      </c>
      <c r="AD46" s="18" t="s">
        <v>195</v>
      </c>
      <c r="AE46" s="18" t="s">
        <v>196</v>
      </c>
      <c r="AF46" s="18" t="s">
        <v>197</v>
      </c>
      <c r="AG46" s="18" t="s">
        <v>198</v>
      </c>
      <c r="AH46" s="18" t="s">
        <v>199</v>
      </c>
      <c r="AI46" s="18" t="s">
        <v>200</v>
      </c>
      <c r="AJ46" s="18" t="s">
        <v>201</v>
      </c>
      <c r="AK46" s="18" t="s">
        <v>202</v>
      </c>
      <c r="AL46" s="18" t="s">
        <v>203</v>
      </c>
      <c r="AM46" s="18" t="s">
        <v>204</v>
      </c>
      <c r="AN46" s="18" t="s">
        <v>205</v>
      </c>
      <c r="AO46" s="18" t="s">
        <v>206</v>
      </c>
      <c r="AP46" s="18" t="s">
        <v>207</v>
      </c>
      <c r="AQ46" s="18" t="s">
        <v>208</v>
      </c>
      <c r="AR46" s="18" t="s">
        <v>209</v>
      </c>
      <c r="AS46" s="18" t="s">
        <v>210</v>
      </c>
      <c r="AT46" s="18" t="s">
        <v>211</v>
      </c>
      <c r="AU46" s="18" t="s">
        <v>212</v>
      </c>
      <c r="AV46" s="18" t="s">
        <v>213</v>
      </c>
      <c r="AW46" s="18" t="s">
        <v>214</v>
      </c>
      <c r="AX46" s="18" t="s">
        <v>265</v>
      </c>
      <c r="AY46" s="18" t="s">
        <v>266</v>
      </c>
      <c r="AZ46" s="18" t="s">
        <v>267</v>
      </c>
      <c r="BA46" s="18" t="s">
        <v>215</v>
      </c>
      <c r="BB46" s="18" t="s">
        <v>216</v>
      </c>
    </row>
    <row r="47" spans="2:56" x14ac:dyDescent="0.2">
      <c r="B47" s="7" t="s">
        <v>90</v>
      </c>
      <c r="C47" s="7" t="s">
        <v>1004</v>
      </c>
      <c r="D47" s="384">
        <f>'GPI Summary'!C52</f>
        <v>14852580</v>
      </c>
      <c r="E47" s="384">
        <f>'GPI Summary'!D52</f>
        <v>178533</v>
      </c>
      <c r="F47" s="384">
        <f>'GPI Summary'!E52</f>
        <v>51237</v>
      </c>
      <c r="G47" s="384">
        <f>'GPI Summary'!F52</f>
        <v>255989</v>
      </c>
      <c r="H47" s="384">
        <f>'GPI Summary'!G52</f>
        <v>106557</v>
      </c>
      <c r="I47" s="384">
        <f>'GPI Summary'!H52</f>
        <v>1908985</v>
      </c>
      <c r="J47" s="384">
        <f>'GPI Summary'!I52</f>
        <v>264733</v>
      </c>
      <c r="K47" s="384">
        <f>'GPI Summary'!J52</f>
        <v>225409</v>
      </c>
      <c r="L47" s="384">
        <f>'GPI Summary'!K52</f>
        <v>64377</v>
      </c>
      <c r="M47" s="384">
        <f>'GPI Summary'!L52</f>
        <v>746439</v>
      </c>
      <c r="N47" s="384">
        <f>'GPI Summary'!M52</f>
        <v>417438</v>
      </c>
      <c r="O47" s="384">
        <f>'GPI Summary'!N52</f>
        <v>70006</v>
      </c>
      <c r="P47" s="384">
        <f>'GPI Summary'!O52</f>
        <v>57096</v>
      </c>
      <c r="Q47" s="384">
        <f>'GPI Summary'!P52</f>
        <v>670247</v>
      </c>
      <c r="R47" s="384">
        <f>'GPI Summary'!Q52</f>
        <v>284344</v>
      </c>
      <c r="S47" s="384">
        <f>'GPI Summary'!R52</f>
        <v>146057</v>
      </c>
      <c r="T47" s="384">
        <f>'GPI Summary'!S52</f>
        <v>134767</v>
      </c>
      <c r="U47" s="384">
        <f>'GPI Summary'!T52</f>
        <v>168019</v>
      </c>
      <c r="V47" s="384">
        <f>'GPI Summary'!U52</f>
        <v>237389</v>
      </c>
      <c r="W47" s="384">
        <f>'GPI Summary'!V52</f>
        <v>52489</v>
      </c>
      <c r="X47" s="384">
        <f>'GPI Summary'!W52</f>
        <v>305175</v>
      </c>
      <c r="Y47" s="384">
        <f>'GPI Summary'!X52</f>
        <v>388575</v>
      </c>
      <c r="Z47" s="384">
        <f>'GPI Summary'!Y52</f>
        <v>385123</v>
      </c>
      <c r="AA47" s="384">
        <f>'GPI Summary'!Z52</f>
        <v>279987</v>
      </c>
      <c r="AB47" s="384">
        <f>'GPI Summary'!AA52</f>
        <v>97533</v>
      </c>
      <c r="AC47" s="384">
        <f>'GPI Summary'!AB52</f>
        <v>249546</v>
      </c>
      <c r="AD47" s="384">
        <f>'GPI Summary'!AC52</f>
        <v>38933</v>
      </c>
      <c r="AE47" s="384">
        <f>'GPI Summary'!AD52</f>
        <v>96230</v>
      </c>
      <c r="AF47" s="384">
        <f>'GPI Summary'!AE52</f>
        <v>129421</v>
      </c>
      <c r="AG47" s="384">
        <f>'GPI Summary'!AF52</f>
        <v>63333</v>
      </c>
      <c r="AH47" s="384">
        <f>'GPI Summary'!AG52</f>
        <v>493175</v>
      </c>
      <c r="AI47" s="384">
        <f>'GPI Summary'!AH52</f>
        <v>79555</v>
      </c>
      <c r="AJ47" s="384">
        <f>'GPI Summary'!AI52</f>
        <v>1169436</v>
      </c>
      <c r="AK47" s="384">
        <f>'GPI Summary'!AJ52</f>
        <v>436144</v>
      </c>
      <c r="AL47" s="384">
        <f>'GPI Summary'!AK52</f>
        <v>39992</v>
      </c>
      <c r="AM47" s="384">
        <f>'GPI Summary'!AL52</f>
        <v>490265</v>
      </c>
      <c r="AN47" s="384">
        <f>'GPI Summary'!AM52</f>
        <v>156058</v>
      </c>
      <c r="AO47" s="384">
        <f>'GPI Summary'!AN52</f>
        <v>188981</v>
      </c>
      <c r="AP47" s="384">
        <f>'GPI Summary'!AO52</f>
        <v>581256</v>
      </c>
      <c r="AQ47" s="384">
        <f>'GPI Summary'!AP52</f>
        <v>49423</v>
      </c>
      <c r="AR47" s="384">
        <f>'GPI Summary'!AQ52</f>
        <v>168716</v>
      </c>
      <c r="AS47" s="384">
        <f>'GPI Summary'!AR52</f>
        <v>41667</v>
      </c>
      <c r="AT47" s="384">
        <f>'GPI Summary'!AS52</f>
        <v>263626</v>
      </c>
      <c r="AU47" s="384">
        <f>'GPI Summary'!AT52</f>
        <v>1321005</v>
      </c>
      <c r="AV47" s="384">
        <f>'GPI Summary'!AU52</f>
        <v>124454</v>
      </c>
      <c r="AW47" s="384">
        <f>'GPI Summary'!AV52</f>
        <v>26545</v>
      </c>
      <c r="AX47" s="384">
        <f>'GPI Summary'!AW52</f>
        <v>433611</v>
      </c>
      <c r="AY47" s="384">
        <f>'GPI Summary'!AX52</f>
        <v>357056</v>
      </c>
      <c r="AZ47" s="384">
        <f>'GPI Summary'!AY52</f>
        <v>66109</v>
      </c>
      <c r="BA47" s="384">
        <f>'GPI Summary'!AZ52</f>
        <v>253349</v>
      </c>
      <c r="BB47" s="384">
        <f>'GPI Summary'!BA52</f>
        <v>38190</v>
      </c>
    </row>
    <row r="48" spans="2:56" x14ac:dyDescent="0.2">
      <c r="B48" s="7" t="s">
        <v>90</v>
      </c>
      <c r="C48" s="7" t="s">
        <v>1005</v>
      </c>
      <c r="D48" s="384">
        <f>'GPI Summary'!C53</f>
        <v>14852.58</v>
      </c>
      <c r="E48" s="384">
        <f>'GPI Summary'!D53</f>
        <v>178.53299999999999</v>
      </c>
      <c r="F48" s="384">
        <f>'GPI Summary'!E53</f>
        <v>51.237000000000002</v>
      </c>
      <c r="G48" s="384">
        <f>'GPI Summary'!F53</f>
        <v>255.989</v>
      </c>
      <c r="H48" s="384">
        <f>'GPI Summary'!G53</f>
        <v>106.557</v>
      </c>
      <c r="I48" s="384">
        <f>'GPI Summary'!H53</f>
        <v>1908.9849999999999</v>
      </c>
      <c r="J48" s="384">
        <f>'GPI Summary'!I53</f>
        <v>264.733</v>
      </c>
      <c r="K48" s="384">
        <f>'GPI Summary'!J53</f>
        <v>225.40899999999999</v>
      </c>
      <c r="L48" s="384">
        <f>'GPI Summary'!K53</f>
        <v>64.376999999999995</v>
      </c>
      <c r="M48" s="384">
        <f>'GPI Summary'!L53</f>
        <v>746.43899999999996</v>
      </c>
      <c r="N48" s="384">
        <f>'GPI Summary'!M53</f>
        <v>417.43799999999999</v>
      </c>
      <c r="O48" s="384">
        <f>'GPI Summary'!N53</f>
        <v>70.006</v>
      </c>
      <c r="P48" s="384">
        <f>'GPI Summary'!O53</f>
        <v>57.095999999999997</v>
      </c>
      <c r="Q48" s="384">
        <f>'GPI Summary'!P53</f>
        <v>670.24699999999996</v>
      </c>
      <c r="R48" s="384">
        <f>'GPI Summary'!Q53</f>
        <v>284.34399999999999</v>
      </c>
      <c r="S48" s="384">
        <f>'GPI Summary'!R53</f>
        <v>146.05699999999999</v>
      </c>
      <c r="T48" s="384">
        <f>'GPI Summary'!S53</f>
        <v>134.767</v>
      </c>
      <c r="U48" s="384">
        <f>'GPI Summary'!T53</f>
        <v>168.01900000000001</v>
      </c>
      <c r="V48" s="384">
        <f>'GPI Summary'!U53</f>
        <v>237.38900000000001</v>
      </c>
      <c r="W48" s="384">
        <f>'GPI Summary'!V53</f>
        <v>52.488999999999997</v>
      </c>
      <c r="X48" s="384">
        <f>'GPI Summary'!W53</f>
        <v>305.17500000000001</v>
      </c>
      <c r="Y48" s="384">
        <f>'GPI Summary'!X53</f>
        <v>388.57499999999999</v>
      </c>
      <c r="Z48" s="384">
        <f>'GPI Summary'!Y53</f>
        <v>385.12299999999999</v>
      </c>
      <c r="AA48" s="384">
        <f>'GPI Summary'!Z53</f>
        <v>279.98700000000002</v>
      </c>
      <c r="AB48" s="384">
        <f>'GPI Summary'!AA53</f>
        <v>97.533000000000001</v>
      </c>
      <c r="AC48" s="384">
        <f>'GPI Summary'!AB53</f>
        <v>249.54599999999999</v>
      </c>
      <c r="AD48" s="384">
        <f>'GPI Summary'!AC53</f>
        <v>38.933</v>
      </c>
      <c r="AE48" s="384">
        <f>'GPI Summary'!AD53</f>
        <v>96.23</v>
      </c>
      <c r="AF48" s="384">
        <f>'GPI Summary'!AE53</f>
        <v>129.42099999999999</v>
      </c>
      <c r="AG48" s="384">
        <f>'GPI Summary'!AF53</f>
        <v>63.332999999999998</v>
      </c>
      <c r="AH48" s="384">
        <f>'GPI Summary'!AG53</f>
        <v>493.17500000000001</v>
      </c>
      <c r="AI48" s="384">
        <f>'GPI Summary'!AH53</f>
        <v>79.555000000000007</v>
      </c>
      <c r="AJ48" s="384">
        <f>'GPI Summary'!AI53</f>
        <v>1169.4359999999999</v>
      </c>
      <c r="AK48" s="384">
        <f>'GPI Summary'!AJ53</f>
        <v>436.14400000000001</v>
      </c>
      <c r="AL48" s="384">
        <f>'GPI Summary'!AK53</f>
        <v>39.991999999999997</v>
      </c>
      <c r="AM48" s="384">
        <f>'GPI Summary'!AL53</f>
        <v>490.26499999999999</v>
      </c>
      <c r="AN48" s="384">
        <f>'GPI Summary'!AM53</f>
        <v>156.05799999999999</v>
      </c>
      <c r="AO48" s="384">
        <f>'GPI Summary'!AN53</f>
        <v>188.98099999999999</v>
      </c>
      <c r="AP48" s="384">
        <f>'GPI Summary'!AO53</f>
        <v>581.25599999999997</v>
      </c>
      <c r="AQ48" s="384">
        <f>'GPI Summary'!AP53</f>
        <v>49.423000000000002</v>
      </c>
      <c r="AR48" s="384">
        <f>'GPI Summary'!AQ53</f>
        <v>168.71600000000001</v>
      </c>
      <c r="AS48" s="384">
        <f>'GPI Summary'!AR53</f>
        <v>41.667000000000002</v>
      </c>
      <c r="AT48" s="384">
        <f>'GPI Summary'!AS53</f>
        <v>263.62599999999998</v>
      </c>
      <c r="AU48" s="384">
        <f>'GPI Summary'!AT53</f>
        <v>1321.0050000000001</v>
      </c>
      <c r="AV48" s="384">
        <f>'GPI Summary'!AU53</f>
        <v>124.45399999999999</v>
      </c>
      <c r="AW48" s="384">
        <f>'GPI Summary'!AV53</f>
        <v>26.545000000000002</v>
      </c>
      <c r="AX48" s="384">
        <f>'GPI Summary'!AW53</f>
        <v>433.61099999999999</v>
      </c>
      <c r="AY48" s="384">
        <f>'GPI Summary'!AX53</f>
        <v>357.05599999999998</v>
      </c>
      <c r="AZ48" s="384">
        <f>'GPI Summary'!AY53</f>
        <v>66.108999999999995</v>
      </c>
      <c r="BA48" s="384">
        <f>'GPI Summary'!AZ53</f>
        <v>253.34899999999999</v>
      </c>
      <c r="BB48" s="384">
        <f>'GPI Summary'!BA53</f>
        <v>38.19</v>
      </c>
    </row>
    <row r="49" spans="2:54" x14ac:dyDescent="0.2">
      <c r="B49" s="7" t="s">
        <v>1006</v>
      </c>
      <c r="C49" s="7" t="s">
        <v>1007</v>
      </c>
      <c r="D49" s="384">
        <f>'GPI Summary'!C54</f>
        <v>47762.284161784519</v>
      </c>
      <c r="E49" s="384">
        <f>'GPI Summary'!D54</f>
        <v>37165.811525267352</v>
      </c>
      <c r="F49" s="384">
        <f>'GPI Summary'!E54</f>
        <v>70783.024341723532</v>
      </c>
      <c r="G49" s="384">
        <f>'GPI Summary'!F54</f>
        <v>39581.959437571852</v>
      </c>
      <c r="H49" s="384">
        <f>'GPI Summary'!G54</f>
        <v>36261.366876949498</v>
      </c>
      <c r="I49" s="384">
        <f>'GPI Summary'!H54</f>
        <v>50657.796254971581</v>
      </c>
      <c r="J49" s="384">
        <f>'GPI Summary'!I54</f>
        <v>51743.036278937405</v>
      </c>
      <c r="K49" s="384">
        <f>'GPI Summary'!J54</f>
        <v>62845.493525137332</v>
      </c>
      <c r="L49" s="384">
        <f>'GPI Summary'!K54</f>
        <v>70889.083915752795</v>
      </c>
      <c r="M49" s="384">
        <f>'GPI Summary'!L54</f>
        <v>39116.903436290726</v>
      </c>
      <c r="N49" s="384">
        <f>'GPI Summary'!M54</f>
        <v>42541.625647391171</v>
      </c>
      <c r="O49" s="384">
        <f>'GPI Summary'!N54</f>
        <v>50797.857094655148</v>
      </c>
      <c r="P49" s="384">
        <f>'GPI Summary'!O54</f>
        <v>36051.281015113556</v>
      </c>
      <c r="Q49" s="384">
        <f>'GPI Summary'!P54</f>
        <v>52119.74538855804</v>
      </c>
      <c r="R49" s="384">
        <f>'GPI Summary'!Q54</f>
        <v>43635.4506884449</v>
      </c>
      <c r="S49" s="384">
        <f>'GPI Summary'!R54</f>
        <v>47667.224634207079</v>
      </c>
      <c r="T49" s="384">
        <f>'GPI Summary'!S54</f>
        <v>46950.828216135393</v>
      </c>
      <c r="U49" s="384">
        <f>'GPI Summary'!T54</f>
        <v>38476.335378607837</v>
      </c>
      <c r="V49" s="384">
        <f>'GPI Summary'!U54</f>
        <v>51890.960105937658</v>
      </c>
      <c r="W49" s="384">
        <f>'GPI Summary'!V54</f>
        <v>39508.665125129468</v>
      </c>
      <c r="X49" s="384">
        <f>'GPI Summary'!W54</f>
        <v>52259.823151422745</v>
      </c>
      <c r="Y49" s="384">
        <f>'GPI Summary'!X54</f>
        <v>58812.596270956739</v>
      </c>
      <c r="Z49" s="384">
        <f>'GPI Summary'!Y54</f>
        <v>38992.685992154744</v>
      </c>
      <c r="AA49" s="384">
        <f>'GPI Summary'!Z54</f>
        <v>52360.453380295359</v>
      </c>
      <c r="AB49" s="384">
        <f>'GPI Summary'!AA54</f>
        <v>32757.14813009894</v>
      </c>
      <c r="AC49" s="384">
        <f>'GPI Summary'!AB54</f>
        <v>41528.817517237519</v>
      </c>
      <c r="AD49" s="384">
        <f>'GPI Summary'!AC54</f>
        <v>39024.043092534885</v>
      </c>
      <c r="AE49" s="384">
        <f>'GPI Summary'!AD54</f>
        <v>52235.492342449441</v>
      </c>
      <c r="AF49" s="384">
        <f>'GPI Summary'!AE54</f>
        <v>47580.760198056785</v>
      </c>
      <c r="AG49" s="384">
        <f>'GPI Summary'!AF54</f>
        <v>48059.389576774141</v>
      </c>
      <c r="AH49" s="384">
        <f>'GPI Summary'!AG54</f>
        <v>55822.03413715327</v>
      </c>
      <c r="AI49" s="384">
        <f>'GPI Summary'!AH54</f>
        <v>38271.994550372016</v>
      </c>
      <c r="AJ49" s="384">
        <f>'GPI Summary'!AI54</f>
        <v>59966.107424123213</v>
      </c>
      <c r="AK49" s="384">
        <f>'GPI Summary'!AJ54</f>
        <v>45191.104063442282</v>
      </c>
      <c r="AL49" s="384">
        <f>'GPI Summary'!AK54</f>
        <v>58404.649940123258</v>
      </c>
      <c r="AM49" s="384">
        <f>'GPI Summary'!AL54</f>
        <v>42480.261904355488</v>
      </c>
      <c r="AN49" s="384">
        <f>'GPI Summary'!AM54</f>
        <v>41239.766891648163</v>
      </c>
      <c r="AO49" s="384">
        <f>'GPI Summary'!AN54</f>
        <v>48854.656743434789</v>
      </c>
      <c r="AP49" s="384">
        <f>'GPI Summary'!AO54</f>
        <v>45610.355597810034</v>
      </c>
      <c r="AQ49" s="384">
        <f>'GPI Summary'!AP54</f>
        <v>47040.582651054683</v>
      </c>
      <c r="AR49" s="384">
        <f>'GPI Summary'!AQ54</f>
        <v>36101.741192823647</v>
      </c>
      <c r="AS49" s="384">
        <f>'GPI Summary'!AR54</f>
        <v>50591.736452349644</v>
      </c>
      <c r="AT49" s="384">
        <f>'GPI Summary'!AS54</f>
        <v>41192.933452316458</v>
      </c>
      <c r="AU49" s="384">
        <f>'GPI Summary'!AT54</f>
        <v>51537.782513565777</v>
      </c>
      <c r="AV49" s="384">
        <f>'GPI Summary'!AU54</f>
        <v>44221.270511418814</v>
      </c>
      <c r="AW49" s="384">
        <f>'GPI Summary'!AV54</f>
        <v>42364.090189469382</v>
      </c>
      <c r="AX49" s="384">
        <f>'GPI Summary'!AW54</f>
        <v>53503.264406030117</v>
      </c>
      <c r="AY49" s="384">
        <f>'GPI Summary'!AX54</f>
        <v>52329.184831840816</v>
      </c>
      <c r="AZ49" s="384">
        <f>'GPI Summary'!AY54</f>
        <v>35640.042525020108</v>
      </c>
      <c r="BA49" s="384">
        <f>'GPI Summary'!AZ54</f>
        <v>44370.572010473843</v>
      </c>
      <c r="BB49" s="384">
        <f>'GPI Summary'!BA54</f>
        <v>67312.234293811998</v>
      </c>
    </row>
    <row r="83" spans="3:57" x14ac:dyDescent="0.2">
      <c r="C83" s="7" t="s">
        <v>1029</v>
      </c>
      <c r="D83" s="505">
        <f>D7-D8+D9-D10-D11+D12</f>
        <v>28543.612593354843</v>
      </c>
      <c r="E83" s="505">
        <f t="shared" ref="E83:BB83" si="53">E7-E8+E9-E10-E11+E12</f>
        <v>23521.853536171435</v>
      </c>
      <c r="F83" s="505">
        <f t="shared" si="53"/>
        <v>32750.734692477203</v>
      </c>
      <c r="G83" s="505">
        <f t="shared" si="53"/>
        <v>28518.223548920341</v>
      </c>
      <c r="H83" s="505">
        <f t="shared" si="53"/>
        <v>22913.60268316108</v>
      </c>
      <c r="I83" s="505">
        <f t="shared" si="53"/>
        <v>29533.117096503836</v>
      </c>
      <c r="J83" s="505">
        <f t="shared" si="53"/>
        <v>29286.422962130375</v>
      </c>
      <c r="K83" s="505">
        <f t="shared" si="53"/>
        <v>34032.797369947955</v>
      </c>
      <c r="L83" s="505">
        <f t="shared" si="53"/>
        <v>32946.125429560183</v>
      </c>
      <c r="M83" s="505">
        <f t="shared" si="53"/>
        <v>29465.991345106035</v>
      </c>
      <c r="N83" s="505">
        <f t="shared" si="53"/>
        <v>25339.226798332988</v>
      </c>
      <c r="O83" s="505">
        <f t="shared" si="53"/>
        <v>32817.271573525584</v>
      </c>
      <c r="P83" s="505">
        <f t="shared" si="53"/>
        <v>27702.511207906315</v>
      </c>
      <c r="Q83" s="505">
        <f t="shared" si="53"/>
        <v>28697.823940267412</v>
      </c>
      <c r="R83" s="505">
        <f t="shared" si="53"/>
        <v>27006.853729196828</v>
      </c>
      <c r="S83" s="505">
        <f t="shared" si="53"/>
        <v>28114.137166770754</v>
      </c>
      <c r="T83" s="505">
        <f t="shared" si="53"/>
        <v>27216.837222124308</v>
      </c>
      <c r="U83" s="505">
        <f t="shared" si="53"/>
        <v>24266.339960511061</v>
      </c>
      <c r="V83" s="505">
        <f t="shared" si="53"/>
        <v>26232.410097783439</v>
      </c>
      <c r="W83" s="505">
        <f t="shared" si="53"/>
        <v>31197.301203855313</v>
      </c>
      <c r="X83" s="505">
        <f t="shared" si="53"/>
        <v>33999.179813427676</v>
      </c>
      <c r="Y83" s="505">
        <f t="shared" si="53"/>
        <v>36510.243993078868</v>
      </c>
      <c r="Z83" s="505">
        <f t="shared" si="53"/>
        <v>26454.158462606272</v>
      </c>
      <c r="AA83" s="505">
        <f t="shared" si="53"/>
        <v>31737.391001799238</v>
      </c>
      <c r="AB83" s="505">
        <f t="shared" si="53"/>
        <v>23256.106356253094</v>
      </c>
      <c r="AC83" s="505">
        <f t="shared" si="53"/>
        <v>27407.155976414189</v>
      </c>
      <c r="AD83" s="505">
        <f t="shared" si="53"/>
        <v>31196.932318579838</v>
      </c>
      <c r="AE83" s="505">
        <f t="shared" si="53"/>
        <v>28439.20290095895</v>
      </c>
      <c r="AF83" s="505">
        <f t="shared" si="53"/>
        <v>29089.432714596453</v>
      </c>
      <c r="AG83" s="505">
        <f t="shared" si="53"/>
        <v>34653.262907460659</v>
      </c>
      <c r="AH83" s="505">
        <f t="shared" si="53"/>
        <v>33850.648864487834</v>
      </c>
      <c r="AI83" s="505">
        <f t="shared" si="53"/>
        <v>25300.161582083416</v>
      </c>
      <c r="AJ83" s="505">
        <f t="shared" si="53"/>
        <v>30482.750974110368</v>
      </c>
      <c r="AK83" s="505">
        <f t="shared" si="53"/>
        <v>25180.485398524343</v>
      </c>
      <c r="AL83" s="505">
        <f t="shared" si="53"/>
        <v>32133.776853787724</v>
      </c>
      <c r="AM83" s="505">
        <f t="shared" si="53"/>
        <v>26580.453052784731</v>
      </c>
      <c r="AN83" s="505">
        <f t="shared" si="53"/>
        <v>26193.28985999677</v>
      </c>
      <c r="AO83" s="505">
        <f t="shared" si="53"/>
        <v>29140.778991164418</v>
      </c>
      <c r="AP83" s="505">
        <f t="shared" si="53"/>
        <v>29302.551746402103</v>
      </c>
      <c r="AQ83" s="505">
        <f t="shared" si="53"/>
        <v>30157.089325726349</v>
      </c>
      <c r="AR83" s="505">
        <f t="shared" si="53"/>
        <v>25441.308508698774</v>
      </c>
      <c r="AS83" s="505">
        <f t="shared" si="53"/>
        <v>30312.387925687392</v>
      </c>
      <c r="AT83" s="505">
        <f t="shared" si="53"/>
        <v>25435.353628786634</v>
      </c>
      <c r="AU83" s="505">
        <f t="shared" si="53"/>
        <v>24931.242611914709</v>
      </c>
      <c r="AV83" s="505">
        <f t="shared" si="53"/>
        <v>27068.516767126217</v>
      </c>
      <c r="AW83" s="505">
        <f t="shared" si="53"/>
        <v>33618.900092715732</v>
      </c>
      <c r="AX83" s="505">
        <f t="shared" si="53"/>
        <v>30643.582444649419</v>
      </c>
      <c r="AY83" s="505">
        <f t="shared" si="53"/>
        <v>32696.476653671933</v>
      </c>
      <c r="AZ83" s="505">
        <f t="shared" si="53"/>
        <v>25492.078887883774</v>
      </c>
      <c r="BA83" s="505">
        <f t="shared" si="53"/>
        <v>29078.644079608897</v>
      </c>
      <c r="BB83" s="505">
        <f t="shared" si="53"/>
        <v>32685.447279651929</v>
      </c>
      <c r="BD83" s="9" t="s">
        <v>1069</v>
      </c>
      <c r="BE83" s="12">
        <f>MIN(E83:BB83)</f>
        <v>22913.60268316108</v>
      </c>
    </row>
    <row r="84" spans="3:57" x14ac:dyDescent="0.2">
      <c r="BD84" s="9" t="s">
        <v>1070</v>
      </c>
      <c r="BE84" s="12">
        <f>MAX(E83:BB83)</f>
        <v>36510.243993078868</v>
      </c>
    </row>
    <row r="85" spans="3:57" x14ac:dyDescent="0.2">
      <c r="BD85" s="9" t="s">
        <v>1071</v>
      </c>
      <c r="BE85" s="12">
        <f>BE84-BE83</f>
        <v>13596.641309917788</v>
      </c>
    </row>
  </sheetData>
  <phoneticPr fontId="103" type="noConversion"/>
  <pageMargins left="0.75" right="0.75" top="1" bottom="1" header="0.5" footer="0.5"/>
  <pageSetup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election activeCell="E2" sqref="E2"/>
    </sheetView>
  </sheetViews>
  <sheetFormatPr baseColWidth="10" defaultRowHeight="16" x14ac:dyDescent="0.2"/>
  <cols>
    <col min="1" max="1" width="41.6640625" bestFit="1" customWidth="1"/>
    <col min="2" max="2" width="13" bestFit="1" customWidth="1"/>
    <col min="3" max="3" width="11.6640625" bestFit="1" customWidth="1"/>
    <col min="7" max="7" width="7.6640625" bestFit="1" customWidth="1"/>
  </cols>
  <sheetData>
    <row r="1" spans="1:7" ht="32" x14ac:dyDescent="0.2">
      <c r="C1" s="501" t="s">
        <v>1066</v>
      </c>
      <c r="D1" s="501" t="s">
        <v>1065</v>
      </c>
      <c r="E1" s="501" t="s">
        <v>1064</v>
      </c>
    </row>
    <row r="2" spans="1:7" x14ac:dyDescent="0.2">
      <c r="B2" s="394"/>
      <c r="C2" s="498">
        <f>'GPI Summary Per Capita'!D6</f>
        <v>17295.307504444521</v>
      </c>
      <c r="D2" s="499">
        <f>C2-17295</f>
        <v>0.30750444452132797</v>
      </c>
      <c r="E2" s="500">
        <f>D2/17295</f>
        <v>1.7779962100105693E-5</v>
      </c>
    </row>
    <row r="4" spans="1:7" x14ac:dyDescent="0.2">
      <c r="A4" s="395" t="s">
        <v>1026</v>
      </c>
      <c r="B4" s="395" t="s">
        <v>1028</v>
      </c>
      <c r="C4" s="396" t="s">
        <v>1024</v>
      </c>
      <c r="D4" s="396" t="s">
        <v>102</v>
      </c>
      <c r="E4" s="396" t="s">
        <v>1025</v>
      </c>
      <c r="F4" s="396" t="s">
        <v>1027</v>
      </c>
    </row>
    <row r="5" spans="1:7" x14ac:dyDescent="0.2">
      <c r="A5" s="484" t="s">
        <v>105</v>
      </c>
      <c r="B5" s="484" t="s">
        <v>1029</v>
      </c>
      <c r="C5" s="482">
        <f>ABS('GPI Per Capita Graphs'!D7)</f>
        <v>34372.101437470272</v>
      </c>
      <c r="D5" s="482">
        <f t="shared" ref="D5:D29" si="0">RANK(C5,$C$5:$C$29)</f>
        <v>1</v>
      </c>
      <c r="E5" s="376">
        <f t="shared" ref="E5:E29" si="1">C5/SUM($C$5:$C$29)</f>
        <v>0.38248994977172418</v>
      </c>
      <c r="F5" s="483">
        <f>E5</f>
        <v>0.38248994977172418</v>
      </c>
      <c r="G5" s="493"/>
    </row>
    <row r="6" spans="1:7" x14ac:dyDescent="0.2">
      <c r="A6" s="485" t="s">
        <v>122</v>
      </c>
      <c r="B6" s="484" t="s">
        <v>1031</v>
      </c>
      <c r="C6" s="482">
        <f>ABS('GPI Per Capita Graphs'!D21)</f>
        <v>8171.9759073924479</v>
      </c>
      <c r="D6" s="482">
        <f t="shared" si="0"/>
        <v>2</v>
      </c>
      <c r="E6" s="376">
        <f t="shared" si="1"/>
        <v>9.0937083379686534E-2</v>
      </c>
      <c r="F6" s="483">
        <f>E6+F5</f>
        <v>0.47342703315141071</v>
      </c>
      <c r="G6" s="493"/>
    </row>
    <row r="7" spans="1:7" x14ac:dyDescent="0.2">
      <c r="A7" s="485" t="s">
        <v>1018</v>
      </c>
      <c r="B7" s="484" t="s">
        <v>1029</v>
      </c>
      <c r="C7" s="482">
        <f>ABS('GPI Per Capita Graphs'!D8)</f>
        <v>7884.8981175443487</v>
      </c>
      <c r="D7" s="482">
        <f t="shared" si="0"/>
        <v>3</v>
      </c>
      <c r="E7" s="376">
        <f t="shared" si="1"/>
        <v>8.7742505078463581E-2</v>
      </c>
      <c r="F7" s="483">
        <f t="shared" ref="F7:F29" si="2">E7+F6</f>
        <v>0.56116953822987425</v>
      </c>
      <c r="G7" s="493"/>
    </row>
    <row r="8" spans="1:7" x14ac:dyDescent="0.2">
      <c r="A8" s="485" t="s">
        <v>1020</v>
      </c>
      <c r="B8" s="484" t="s">
        <v>1030</v>
      </c>
      <c r="C8" s="482">
        <f>ABS('GPI Per Capita Graphs'!D22)</f>
        <v>6864.2202714925015</v>
      </c>
      <c r="D8" s="482">
        <f t="shared" si="0"/>
        <v>4</v>
      </c>
      <c r="E8" s="376">
        <f t="shared" si="1"/>
        <v>7.6384485005710781E-2</v>
      </c>
      <c r="F8" s="483">
        <f t="shared" si="2"/>
        <v>0.63755402323558508</v>
      </c>
      <c r="G8" s="493"/>
    </row>
    <row r="9" spans="1:7" x14ac:dyDescent="0.2">
      <c r="A9" s="485" t="s">
        <v>1019</v>
      </c>
      <c r="B9" s="484" t="s">
        <v>1029</v>
      </c>
      <c r="C9" s="482">
        <f>ABS('GPI Per Capita Graphs'!D9)</f>
        <v>6238.3959319355345</v>
      </c>
      <c r="D9" s="482">
        <f t="shared" si="0"/>
        <v>5</v>
      </c>
      <c r="E9" s="376">
        <f t="shared" si="1"/>
        <v>6.942036264506514E-2</v>
      </c>
      <c r="F9" s="483">
        <f t="shared" si="2"/>
        <v>0.7069743858806502</v>
      </c>
      <c r="G9" s="493"/>
    </row>
    <row r="10" spans="1:7" x14ac:dyDescent="0.2">
      <c r="A10" s="485" t="s">
        <v>128</v>
      </c>
      <c r="B10" s="484" t="s">
        <v>1030</v>
      </c>
      <c r="C10" s="482">
        <f>ABS('GPI Per Capita Graphs'!D31)</f>
        <v>5179.3737851433816</v>
      </c>
      <c r="D10" s="482">
        <f t="shared" si="0"/>
        <v>6</v>
      </c>
      <c r="E10" s="376">
        <f t="shared" si="1"/>
        <v>5.7635650311704638E-2</v>
      </c>
      <c r="F10" s="483">
        <f t="shared" si="2"/>
        <v>0.76461003619235479</v>
      </c>
      <c r="G10" s="493"/>
    </row>
    <row r="11" spans="1:7" x14ac:dyDescent="0.2">
      <c r="A11" s="485" t="s">
        <v>1022</v>
      </c>
      <c r="B11" s="484" t="s">
        <v>1030</v>
      </c>
      <c r="C11" s="482">
        <f>ABS('GPI Per Capita Graphs'!D28)</f>
        <v>3942.3862728965582</v>
      </c>
      <c r="D11" s="482">
        <f t="shared" si="0"/>
        <v>7</v>
      </c>
      <c r="E11" s="376">
        <f t="shared" si="1"/>
        <v>4.3870553863113469E-2</v>
      </c>
      <c r="F11" s="483">
        <f t="shared" si="2"/>
        <v>0.80848059005546824</v>
      </c>
      <c r="G11" s="493"/>
    </row>
    <row r="12" spans="1:7" x14ac:dyDescent="0.2">
      <c r="A12" s="485" t="s">
        <v>106</v>
      </c>
      <c r="B12" s="484" t="s">
        <v>1029</v>
      </c>
      <c r="C12" s="482">
        <f>ABS('GPI Per Capita Graphs'!D10)</f>
        <v>3617.5508092958971</v>
      </c>
      <c r="D12" s="482">
        <f t="shared" si="0"/>
        <v>8</v>
      </c>
      <c r="E12" s="376">
        <f t="shared" si="1"/>
        <v>4.0255811238699875E-2</v>
      </c>
      <c r="F12" s="483">
        <f t="shared" si="2"/>
        <v>0.84873640129416816</v>
      </c>
      <c r="G12" s="493"/>
    </row>
    <row r="13" spans="1:7" x14ac:dyDescent="0.2">
      <c r="A13" s="485" t="s">
        <v>120</v>
      </c>
      <c r="B13" s="484" t="s">
        <v>1031</v>
      </c>
      <c r="C13" s="482">
        <f>ABS('GPI Per Capita Graphs'!D19)</f>
        <v>2496.3337886417439</v>
      </c>
      <c r="D13" s="482">
        <f t="shared" si="0"/>
        <v>9</v>
      </c>
      <c r="E13" s="376">
        <f t="shared" si="1"/>
        <v>2.7778999406482371E-2</v>
      </c>
      <c r="F13" s="483">
        <f t="shared" si="2"/>
        <v>0.87651540070065048</v>
      </c>
      <c r="G13" s="493"/>
    </row>
    <row r="14" spans="1:7" x14ac:dyDescent="0.2">
      <c r="A14" s="485" t="s">
        <v>126</v>
      </c>
      <c r="B14" s="484" t="s">
        <v>1030</v>
      </c>
      <c r="C14" s="482">
        <f>ABS('GPI Per Capita Graphs'!D27)</f>
        <v>2215.9450329050328</v>
      </c>
      <c r="D14" s="482">
        <f t="shared" si="0"/>
        <v>10</v>
      </c>
      <c r="E14" s="376">
        <f t="shared" si="1"/>
        <v>2.4658856132921035E-2</v>
      </c>
      <c r="F14" s="483">
        <f t="shared" si="2"/>
        <v>0.90117425683357155</v>
      </c>
      <c r="G14" s="395" t="s">
        <v>1058</v>
      </c>
    </row>
    <row r="15" spans="1:7" x14ac:dyDescent="0.2">
      <c r="A15" s="485" t="s">
        <v>121</v>
      </c>
      <c r="B15" s="486" t="s">
        <v>1031</v>
      </c>
      <c r="C15" s="482">
        <f>ABS('GPI Per Capita Graphs'!D20)</f>
        <v>2017.518182113681</v>
      </c>
      <c r="D15" s="482">
        <f t="shared" si="0"/>
        <v>11</v>
      </c>
      <c r="E15" s="376">
        <f t="shared" si="1"/>
        <v>2.2450778272723394E-2</v>
      </c>
      <c r="F15" s="483">
        <f t="shared" si="2"/>
        <v>0.9236250351062949</v>
      </c>
      <c r="G15" s="494">
        <f>0.025/E15</f>
        <v>1.1135471428344108</v>
      </c>
    </row>
    <row r="16" spans="1:7" x14ac:dyDescent="0.2">
      <c r="A16" s="485" t="s">
        <v>107</v>
      </c>
      <c r="B16" s="484" t="s">
        <v>1029</v>
      </c>
      <c r="C16" s="482">
        <f>ABS('GPI Per Capita Graphs'!D11)</f>
        <v>1392.814784054068</v>
      </c>
      <c r="D16" s="482">
        <f t="shared" si="0"/>
        <v>12</v>
      </c>
      <c r="E16" s="376">
        <f t="shared" si="1"/>
        <v>1.5499129657909096E-2</v>
      </c>
      <c r="F16" s="483">
        <f t="shared" si="2"/>
        <v>0.93912416476420402</v>
      </c>
      <c r="G16" s="494">
        <f t="shared" ref="G16:G29" si="3">0.025/E16</f>
        <v>1.6129937971867137</v>
      </c>
    </row>
    <row r="17" spans="1:7" x14ac:dyDescent="0.2">
      <c r="A17" s="485" t="s">
        <v>127</v>
      </c>
      <c r="B17" s="484" t="s">
        <v>1030</v>
      </c>
      <c r="C17" s="482">
        <f>ABS('GPI Per Capita Graphs'!D30)</f>
        <v>1319.2018659273413</v>
      </c>
      <c r="D17" s="482">
        <f t="shared" si="0"/>
        <v>13</v>
      </c>
      <c r="E17" s="376">
        <f t="shared" si="1"/>
        <v>1.4679971090951427E-2</v>
      </c>
      <c r="F17" s="483">
        <f t="shared" si="2"/>
        <v>0.95380413585515544</v>
      </c>
      <c r="G17" s="494">
        <f t="shared" si="3"/>
        <v>1.7030006288915465</v>
      </c>
    </row>
    <row r="18" spans="1:7" x14ac:dyDescent="0.2">
      <c r="A18" s="485" t="s">
        <v>108</v>
      </c>
      <c r="B18" s="484" t="s">
        <v>1029</v>
      </c>
      <c r="C18" s="482">
        <f>ABS('GPI Per Capita Graphs'!D12)</f>
        <v>828.37893484335336</v>
      </c>
      <c r="D18" s="482">
        <f t="shared" si="0"/>
        <v>14</v>
      </c>
      <c r="E18" s="376">
        <f t="shared" si="1"/>
        <v>9.21813342592963E-3</v>
      </c>
      <c r="F18" s="483">
        <f t="shared" si="2"/>
        <v>0.96302226928108503</v>
      </c>
      <c r="G18" s="494">
        <f t="shared" si="3"/>
        <v>2.7120457954836774</v>
      </c>
    </row>
    <row r="19" spans="1:7" x14ac:dyDescent="0.2">
      <c r="A19" s="485" t="s">
        <v>118</v>
      </c>
      <c r="B19" s="484" t="s">
        <v>1031</v>
      </c>
      <c r="C19" s="482">
        <f>ABS('GPI Per Capita Graphs'!D17)</f>
        <v>768.77404867108669</v>
      </c>
      <c r="D19" s="482">
        <f t="shared" si="0"/>
        <v>15</v>
      </c>
      <c r="E19" s="376">
        <f t="shared" si="1"/>
        <v>8.5548550994748382E-3</v>
      </c>
      <c r="F19" s="483">
        <f t="shared" si="2"/>
        <v>0.97157712438055988</v>
      </c>
      <c r="G19" s="494">
        <f t="shared" si="3"/>
        <v>2.9223171765392837</v>
      </c>
    </row>
    <row r="20" spans="1:7" x14ac:dyDescent="0.2">
      <c r="A20" s="485" t="s">
        <v>1023</v>
      </c>
      <c r="B20" s="484" t="s">
        <v>1030</v>
      </c>
      <c r="C20" s="482">
        <f>ABS('GPI Per Capita Graphs'!D29)</f>
        <v>754.71789449906328</v>
      </c>
      <c r="D20" s="482">
        <f t="shared" si="0"/>
        <v>16</v>
      </c>
      <c r="E20" s="376">
        <f t="shared" si="1"/>
        <v>8.3984393588480543E-3</v>
      </c>
      <c r="F20" s="483">
        <f t="shared" si="2"/>
        <v>0.97997556373940797</v>
      </c>
      <c r="G20" s="494">
        <f t="shared" si="3"/>
        <v>2.9767435271961111</v>
      </c>
    </row>
    <row r="21" spans="1:7" x14ac:dyDescent="0.2">
      <c r="A21" s="485" t="s">
        <v>1021</v>
      </c>
      <c r="B21" s="484" t="s">
        <v>1030</v>
      </c>
      <c r="C21" s="482">
        <f>ABS('GPI Per Capita Graphs'!D26)</f>
        <v>569.05131109365198</v>
      </c>
      <c r="D21" s="482">
        <f t="shared" si="0"/>
        <v>17</v>
      </c>
      <c r="E21" s="376">
        <f t="shared" si="1"/>
        <v>6.3323567164988524E-3</v>
      </c>
      <c r="F21" s="483">
        <f t="shared" si="2"/>
        <v>0.98630792045590687</v>
      </c>
      <c r="G21" s="494">
        <f t="shared" si="3"/>
        <v>3.9479772096323802</v>
      </c>
    </row>
    <row r="22" spans="1:7" x14ac:dyDescent="0.2">
      <c r="A22" s="485" t="s">
        <v>124</v>
      </c>
      <c r="B22" s="484" t="s">
        <v>1030</v>
      </c>
      <c r="C22" s="482">
        <f>ABS('GPI Per Capita Graphs'!D24)</f>
        <v>249.80055984261332</v>
      </c>
      <c r="D22" s="482">
        <f t="shared" si="0"/>
        <v>18</v>
      </c>
      <c r="E22" s="376">
        <f t="shared" si="1"/>
        <v>2.779760316981707E-3</v>
      </c>
      <c r="F22" s="483">
        <f t="shared" si="2"/>
        <v>0.98908768077288856</v>
      </c>
      <c r="G22" s="494">
        <f t="shared" si="3"/>
        <v>8.9935811542001094</v>
      </c>
    </row>
    <row r="23" spans="1:7" x14ac:dyDescent="0.2">
      <c r="A23" s="485" t="s">
        <v>125</v>
      </c>
      <c r="B23" s="484" t="s">
        <v>1031</v>
      </c>
      <c r="C23" s="482">
        <f>ABS('GPI Per Capita Graphs'!D25)</f>
        <v>238.82690093621923</v>
      </c>
      <c r="D23" s="482">
        <f t="shared" si="0"/>
        <v>19</v>
      </c>
      <c r="E23" s="376">
        <f t="shared" si="1"/>
        <v>2.6576463330126305E-3</v>
      </c>
      <c r="F23" s="483">
        <f t="shared" si="2"/>
        <v>0.99174532710590113</v>
      </c>
      <c r="G23" s="494">
        <f t="shared" si="3"/>
        <v>9.406819744770452</v>
      </c>
    </row>
    <row r="24" spans="1:7" x14ac:dyDescent="0.2">
      <c r="A24" s="485" t="s">
        <v>119</v>
      </c>
      <c r="B24" s="484" t="s">
        <v>1031</v>
      </c>
      <c r="C24" s="482">
        <f>ABS('GPI Per Capita Graphs'!D18)</f>
        <v>222.63133816736206</v>
      </c>
      <c r="D24" s="482">
        <f t="shared" si="0"/>
        <v>20</v>
      </c>
      <c r="E24" s="376">
        <f t="shared" si="1"/>
        <v>2.4774234274898398E-3</v>
      </c>
      <c r="F24" s="483">
        <f t="shared" si="2"/>
        <v>0.99422275053339093</v>
      </c>
      <c r="G24" s="494">
        <f t="shared" si="3"/>
        <v>10.091129244438587</v>
      </c>
    </row>
    <row r="25" spans="1:7" x14ac:dyDescent="0.2">
      <c r="A25" s="485" t="s">
        <v>123</v>
      </c>
      <c r="B25" s="484" t="s">
        <v>1030</v>
      </c>
      <c r="C25" s="482">
        <f>ABS('GPI Per Capita Graphs'!D23)</f>
        <v>216.59188630920326</v>
      </c>
      <c r="D25" s="482">
        <f t="shared" si="0"/>
        <v>21</v>
      </c>
      <c r="E25" s="376">
        <f t="shared" si="1"/>
        <v>2.4102168983202951E-3</v>
      </c>
      <c r="F25" s="483">
        <f t="shared" si="2"/>
        <v>0.99663296743171126</v>
      </c>
      <c r="G25" s="494">
        <f t="shared" si="3"/>
        <v>10.372510464690027</v>
      </c>
    </row>
    <row r="26" spans="1:7" x14ac:dyDescent="0.2">
      <c r="A26" s="485" t="s">
        <v>109</v>
      </c>
      <c r="B26" s="484" t="s">
        <v>1031</v>
      </c>
      <c r="C26" s="482">
        <f>ABS('GPI Per Capita Graphs'!D13)</f>
        <v>143.12183516903099</v>
      </c>
      <c r="D26" s="482">
        <f t="shared" si="0"/>
        <v>22</v>
      </c>
      <c r="E26" s="376">
        <f t="shared" si="1"/>
        <v>1.5926481435715389E-3</v>
      </c>
      <c r="F26" s="483">
        <f t="shared" si="2"/>
        <v>0.99822561557528278</v>
      </c>
      <c r="G26" s="494">
        <f t="shared" si="3"/>
        <v>15.697126889519428</v>
      </c>
    </row>
    <row r="27" spans="1:7" x14ac:dyDescent="0.2">
      <c r="A27" s="485" t="s">
        <v>116</v>
      </c>
      <c r="B27" s="484" t="s">
        <v>1031</v>
      </c>
      <c r="C27" s="482">
        <f>ABS('GPI Per Capita Graphs'!D15)</f>
        <v>101.49547525548074</v>
      </c>
      <c r="D27" s="482">
        <f t="shared" si="0"/>
        <v>23</v>
      </c>
      <c r="E27" s="376">
        <f t="shared" si="1"/>
        <v>1.1294333953700581E-3</v>
      </c>
      <c r="F27" s="483">
        <f t="shared" si="2"/>
        <v>0.99935504897065286</v>
      </c>
      <c r="G27" s="494">
        <f t="shared" si="3"/>
        <v>22.13499273395291</v>
      </c>
    </row>
    <row r="28" spans="1:7" x14ac:dyDescent="0.2">
      <c r="A28" s="485" t="s">
        <v>115</v>
      </c>
      <c r="B28" s="484" t="s">
        <v>1031</v>
      </c>
      <c r="C28" s="482">
        <f>ABS('GPI Per Capita Graphs'!D14)</f>
        <v>47.524076592075296</v>
      </c>
      <c r="D28" s="482">
        <f t="shared" si="0"/>
        <v>24</v>
      </c>
      <c r="E28" s="376">
        <f t="shared" si="1"/>
        <v>5.2884405981749264E-4</v>
      </c>
      <c r="F28" s="483">
        <f t="shared" si="2"/>
        <v>0.99988389303047032</v>
      </c>
      <c r="G28" s="494">
        <f t="shared" si="3"/>
        <v>47.272914455402329</v>
      </c>
    </row>
    <row r="29" spans="1:7" x14ac:dyDescent="0.2">
      <c r="A29" s="485" t="s">
        <v>117</v>
      </c>
      <c r="B29" s="484" t="s">
        <v>1031</v>
      </c>
      <c r="C29" s="482">
        <f>ABS('GPI Per Capita Graphs'!D16)</f>
        <v>10.433844174601218</v>
      </c>
      <c r="D29" s="482">
        <f t="shared" si="0"/>
        <v>25</v>
      </c>
      <c r="E29" s="376">
        <f t="shared" si="1"/>
        <v>1.1610696952961558E-4</v>
      </c>
      <c r="F29" s="483">
        <f t="shared" si="2"/>
        <v>0.99999999999999989</v>
      </c>
      <c r="G29" s="494">
        <f t="shared" si="3"/>
        <v>215.31868501333344</v>
      </c>
    </row>
    <row r="32" spans="1:7" x14ac:dyDescent="0.2">
      <c r="B32" s="394" t="s">
        <v>1029</v>
      </c>
      <c r="C32" s="397">
        <f>SUM(C5:C10)</f>
        <v>68710.965450978489</v>
      </c>
      <c r="D32" s="398">
        <f>C32/SUM($C$32:$C$34)</f>
        <v>0.7646100361923549</v>
      </c>
    </row>
    <row r="33" spans="2:4" x14ac:dyDescent="0.2">
      <c r="B33" s="394" t="s">
        <v>1030</v>
      </c>
      <c r="C33" s="397">
        <f>SUM(C21:C29)</f>
        <v>1799.4772275402381</v>
      </c>
      <c r="D33" s="398">
        <f>C33/SUM($C$32:$C$34)</f>
        <v>2.002443626059203E-2</v>
      </c>
    </row>
    <row r="34" spans="2:4" x14ac:dyDescent="0.2">
      <c r="B34" s="394" t="s">
        <v>1031</v>
      </c>
      <c r="C34" s="397">
        <f>SUM(C11:C20)</f>
        <v>19353.621613847823</v>
      </c>
      <c r="D34" s="398">
        <f>C34/SUM($C$32:$C$34)</f>
        <v>0.21536552754705315</v>
      </c>
    </row>
  </sheetData>
  <autoFilter ref="A4:E29">
    <sortState ref="A4:E28">
      <sortCondition ref="D3:D28"/>
    </sortState>
  </autoFilter>
  <sortState ref="A4:E28">
    <sortCondition ref="B4:B28"/>
  </sortState>
  <phoneticPr fontId="103" type="noConversion"/>
  <dataValidations count="1">
    <dataValidation type="list" allowBlank="1" showInputMessage="1" showErrorMessage="1" sqref="B5:B29 B32:B34">
      <formula1>"Economic, Environmental, Social"</formula1>
    </dataValidation>
  </dataValidations>
  <pageMargins left="0.75" right="0.75" top="1" bottom="1"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
  <sheetViews>
    <sheetView workbookViewId="0">
      <selection activeCell="L1" sqref="L1:BB1"/>
    </sheetView>
  </sheetViews>
  <sheetFormatPr baseColWidth="10" defaultColWidth="11" defaultRowHeight="16" x14ac:dyDescent="0.2"/>
  <cols>
    <col min="1" max="1" width="11" style="126"/>
    <col min="2" max="2" width="32" customWidth="1"/>
    <col min="3" max="3" width="16.83203125" bestFit="1" customWidth="1"/>
    <col min="4" max="4" width="13" bestFit="1" customWidth="1"/>
    <col min="5" max="5" width="11.6640625" bestFit="1" customWidth="1"/>
    <col min="6" max="6" width="11.1640625" bestFit="1" customWidth="1"/>
    <col min="7" max="7" width="11.6640625" bestFit="1" customWidth="1"/>
    <col min="8" max="8" width="11.1640625" bestFit="1" customWidth="1"/>
    <col min="9" max="9" width="11.83203125" bestFit="1" customWidth="1"/>
    <col min="10" max="10" width="11.1640625" bestFit="1" customWidth="1"/>
    <col min="11" max="11" width="11.6640625" bestFit="1" customWidth="1"/>
    <col min="12" max="12" width="11.1640625" bestFit="1" customWidth="1"/>
    <col min="13" max="14" width="11.6640625" bestFit="1" customWidth="1"/>
    <col min="15" max="16" width="11.1640625" bestFit="1" customWidth="1"/>
    <col min="17" max="18" width="11.6640625" bestFit="1" customWidth="1"/>
    <col min="19" max="20" width="11.1640625" bestFit="1" customWidth="1"/>
    <col min="21" max="22" width="11.6640625" bestFit="1" customWidth="1"/>
    <col min="23" max="23" width="11.1640625" bestFit="1" customWidth="1"/>
    <col min="24" max="27" width="11.6640625" bestFit="1" customWidth="1"/>
    <col min="28" max="28" width="11.1640625" bestFit="1" customWidth="1"/>
    <col min="29" max="29" width="11.6640625" bestFit="1" customWidth="1"/>
    <col min="30" max="33" width="11.1640625" bestFit="1" customWidth="1"/>
    <col min="34" max="34" width="11.6640625" bestFit="1" customWidth="1"/>
    <col min="35" max="35" width="11.1640625" bestFit="1" customWidth="1"/>
    <col min="36" max="37" width="11.6640625" bestFit="1" customWidth="1"/>
    <col min="38" max="38" width="11.1640625" bestFit="1" customWidth="1"/>
    <col min="39" max="39" width="11.6640625" bestFit="1" customWidth="1"/>
    <col min="40" max="41" width="11.1640625" bestFit="1" customWidth="1"/>
    <col min="42" max="42" width="11.6640625" bestFit="1" customWidth="1"/>
    <col min="43" max="43" width="11.1640625" bestFit="1" customWidth="1"/>
    <col min="44" max="44" width="11.6640625" bestFit="1" customWidth="1"/>
    <col min="45" max="45" width="11.1640625" bestFit="1" customWidth="1"/>
    <col min="46" max="46" width="11.6640625" bestFit="1" customWidth="1"/>
    <col min="47" max="49" width="11.1640625" bestFit="1" customWidth="1"/>
    <col min="50" max="50" width="11.6640625" bestFit="1" customWidth="1"/>
    <col min="51" max="52" width="11.1640625" bestFit="1" customWidth="1"/>
    <col min="53" max="53" width="11.6640625" bestFit="1" customWidth="1"/>
    <col min="54" max="54" width="11.1640625" bestFit="1" customWidth="1"/>
  </cols>
  <sheetData>
    <row r="1" spans="1:56" s="3" customFormat="1" x14ac:dyDescent="0.2">
      <c r="A1" s="221"/>
      <c r="B1" s="3">
        <v>2012</v>
      </c>
      <c r="D1" s="220"/>
      <c r="E1" s="3">
        <v>1</v>
      </c>
      <c r="F1" s="3">
        <f>E1+1</f>
        <v>2</v>
      </c>
      <c r="G1" s="3">
        <f t="shared" ref="G1:L1" si="0">F1+1</f>
        <v>3</v>
      </c>
      <c r="H1" s="3">
        <f t="shared" si="0"/>
        <v>4</v>
      </c>
      <c r="I1" s="3">
        <f t="shared" si="0"/>
        <v>5</v>
      </c>
      <c r="J1" s="3">
        <f t="shared" si="0"/>
        <v>6</v>
      </c>
      <c r="K1" s="3">
        <f t="shared" si="0"/>
        <v>7</v>
      </c>
      <c r="L1" s="3">
        <f t="shared" si="0"/>
        <v>8</v>
      </c>
      <c r="M1" s="3">
        <f t="shared" ref="M1" si="1">L1+1</f>
        <v>9</v>
      </c>
      <c r="N1" s="3">
        <f t="shared" ref="N1" si="2">M1+1</f>
        <v>10</v>
      </c>
      <c r="O1" s="3">
        <f t="shared" ref="O1" si="3">N1+1</f>
        <v>11</v>
      </c>
      <c r="P1" s="3">
        <f t="shared" ref="P1" si="4">O1+1</f>
        <v>12</v>
      </c>
      <c r="Q1" s="3">
        <f t="shared" ref="Q1" si="5">P1+1</f>
        <v>13</v>
      </c>
      <c r="R1" s="3">
        <f t="shared" ref="R1" si="6">Q1+1</f>
        <v>14</v>
      </c>
      <c r="S1" s="3">
        <f t="shared" ref="S1" si="7">R1+1</f>
        <v>15</v>
      </c>
      <c r="T1" s="3">
        <f t="shared" ref="T1" si="8">S1+1</f>
        <v>16</v>
      </c>
      <c r="U1" s="3">
        <f t="shared" ref="U1" si="9">T1+1</f>
        <v>17</v>
      </c>
      <c r="V1" s="3">
        <f t="shared" ref="V1" si="10">U1+1</f>
        <v>18</v>
      </c>
      <c r="W1" s="3">
        <f t="shared" ref="W1" si="11">V1+1</f>
        <v>19</v>
      </c>
      <c r="X1" s="3">
        <f t="shared" ref="X1" si="12">W1+1</f>
        <v>20</v>
      </c>
      <c r="Y1" s="3">
        <f t="shared" ref="Y1" si="13">X1+1</f>
        <v>21</v>
      </c>
      <c r="Z1" s="3">
        <f t="shared" ref="Z1" si="14">Y1+1</f>
        <v>22</v>
      </c>
      <c r="AA1" s="3">
        <f t="shared" ref="AA1" si="15">Z1+1</f>
        <v>23</v>
      </c>
      <c r="AB1" s="3">
        <f t="shared" ref="AB1" si="16">AA1+1</f>
        <v>24</v>
      </c>
      <c r="AC1" s="3">
        <f t="shared" ref="AC1" si="17">AB1+1</f>
        <v>25</v>
      </c>
      <c r="AD1" s="3">
        <f t="shared" ref="AD1" si="18">AC1+1</f>
        <v>26</v>
      </c>
      <c r="AE1" s="3">
        <f t="shared" ref="AE1" si="19">AD1+1</f>
        <v>27</v>
      </c>
      <c r="AF1" s="3">
        <f t="shared" ref="AF1" si="20">AE1+1</f>
        <v>28</v>
      </c>
      <c r="AG1" s="3">
        <f t="shared" ref="AG1" si="21">AF1+1</f>
        <v>29</v>
      </c>
      <c r="AH1" s="3">
        <f t="shared" ref="AH1" si="22">AG1+1</f>
        <v>30</v>
      </c>
      <c r="AI1" s="3">
        <f t="shared" ref="AI1" si="23">AH1+1</f>
        <v>31</v>
      </c>
      <c r="AJ1" s="3">
        <f t="shared" ref="AJ1" si="24">AI1+1</f>
        <v>32</v>
      </c>
      <c r="AK1" s="3">
        <f t="shared" ref="AK1" si="25">AJ1+1</f>
        <v>33</v>
      </c>
      <c r="AL1" s="3">
        <f t="shared" ref="AL1" si="26">AK1+1</f>
        <v>34</v>
      </c>
      <c r="AM1" s="3">
        <f t="shared" ref="AM1" si="27">AL1+1</f>
        <v>35</v>
      </c>
      <c r="AN1" s="3">
        <f t="shared" ref="AN1" si="28">AM1+1</f>
        <v>36</v>
      </c>
      <c r="AO1" s="3">
        <f t="shared" ref="AO1" si="29">AN1+1</f>
        <v>37</v>
      </c>
      <c r="AP1" s="3">
        <f t="shared" ref="AP1" si="30">AO1+1</f>
        <v>38</v>
      </c>
      <c r="AQ1" s="3">
        <f t="shared" ref="AQ1" si="31">AP1+1</f>
        <v>39</v>
      </c>
      <c r="AR1" s="3">
        <f t="shared" ref="AR1" si="32">AQ1+1</f>
        <v>40</v>
      </c>
      <c r="AS1" s="3">
        <f t="shared" ref="AS1" si="33">AR1+1</f>
        <v>41</v>
      </c>
      <c r="AT1" s="3">
        <f t="shared" ref="AT1" si="34">AS1+1</f>
        <v>42</v>
      </c>
      <c r="AU1" s="3">
        <f t="shared" ref="AU1" si="35">AT1+1</f>
        <v>43</v>
      </c>
      <c r="AV1" s="3">
        <f t="shared" ref="AV1" si="36">AU1+1</f>
        <v>44</v>
      </c>
      <c r="AW1" s="3">
        <f t="shared" ref="AW1" si="37">AV1+1</f>
        <v>45</v>
      </c>
      <c r="AX1" s="3">
        <f t="shared" ref="AX1" si="38">AW1+1</f>
        <v>46</v>
      </c>
      <c r="AY1" s="3">
        <f t="shared" ref="AY1" si="39">AX1+1</f>
        <v>47</v>
      </c>
      <c r="AZ1" s="3">
        <f t="shared" ref="AZ1" si="40">AY1+1</f>
        <v>48</v>
      </c>
      <c r="BA1" s="3">
        <f t="shared" ref="BA1" si="41">AZ1+1</f>
        <v>49</v>
      </c>
      <c r="BB1" s="3">
        <f t="shared" ref="BB1" si="42">BA1+1</f>
        <v>50</v>
      </c>
      <c r="BD1" s="2"/>
    </row>
    <row r="2" spans="1:56" s="3" customFormat="1" x14ac:dyDescent="0.2">
      <c r="A2" s="221"/>
      <c r="D2" s="220" t="s">
        <v>95</v>
      </c>
      <c r="E2" s="4" t="s">
        <v>144</v>
      </c>
      <c r="F2" s="4" t="s">
        <v>145</v>
      </c>
      <c r="G2" s="4" t="s">
        <v>146</v>
      </c>
      <c r="H2" s="4" t="s">
        <v>147</v>
      </c>
      <c r="I2" s="4" t="s">
        <v>148</v>
      </c>
      <c r="J2" s="4" t="s">
        <v>149</v>
      </c>
      <c r="K2" s="4" t="s">
        <v>150</v>
      </c>
      <c r="L2" s="4" t="s">
        <v>151</v>
      </c>
      <c r="M2" s="4" t="s">
        <v>152</v>
      </c>
      <c r="N2" s="4" t="s">
        <v>153</v>
      </c>
      <c r="O2" s="4" t="s">
        <v>154</v>
      </c>
      <c r="P2" s="4" t="s">
        <v>155</v>
      </c>
      <c r="Q2" s="4" t="s">
        <v>156</v>
      </c>
      <c r="R2" s="4" t="s">
        <v>2</v>
      </c>
      <c r="S2" s="4" t="s">
        <v>3</v>
      </c>
      <c r="T2" s="4" t="s">
        <v>4</v>
      </c>
      <c r="U2" s="4" t="s">
        <v>5</v>
      </c>
      <c r="V2" s="4" t="s">
        <v>6</v>
      </c>
      <c r="W2" s="4" t="s">
        <v>7</v>
      </c>
      <c r="X2" s="4" t="s">
        <v>8</v>
      </c>
      <c r="Y2" s="4" t="s">
        <v>9</v>
      </c>
      <c r="Z2" s="4" t="s">
        <v>10</v>
      </c>
      <c r="AA2" s="4" t="s">
        <v>11</v>
      </c>
      <c r="AB2" s="4" t="s">
        <v>12</v>
      </c>
      <c r="AC2" s="4" t="s">
        <v>13</v>
      </c>
      <c r="AD2" s="4" t="s">
        <v>14</v>
      </c>
      <c r="AE2" s="4" t="s">
        <v>15</v>
      </c>
      <c r="AF2" s="4" t="s">
        <v>16</v>
      </c>
      <c r="AG2" s="4" t="s">
        <v>17</v>
      </c>
      <c r="AH2" s="4" t="s">
        <v>18</v>
      </c>
      <c r="AI2" s="4" t="s">
        <v>19</v>
      </c>
      <c r="AJ2" s="4" t="s">
        <v>20</v>
      </c>
      <c r="AK2" s="4" t="s">
        <v>21</v>
      </c>
      <c r="AL2" s="4" t="s">
        <v>22</v>
      </c>
      <c r="AM2" s="4" t="s">
        <v>23</v>
      </c>
      <c r="AN2" s="4" t="s">
        <v>24</v>
      </c>
      <c r="AO2" s="4" t="s">
        <v>25</v>
      </c>
      <c r="AP2" s="4" t="s">
        <v>26</v>
      </c>
      <c r="AQ2" s="4" t="s">
        <v>27</v>
      </c>
      <c r="AR2" s="4" t="s">
        <v>28</v>
      </c>
      <c r="AS2" s="4" t="s">
        <v>29</v>
      </c>
      <c r="AT2" s="4" t="s">
        <v>30</v>
      </c>
      <c r="AU2" s="4" t="s">
        <v>31</v>
      </c>
      <c r="AV2" s="4" t="s">
        <v>32</v>
      </c>
      <c r="AW2" s="4" t="s">
        <v>33</v>
      </c>
      <c r="AX2" s="4" t="s">
        <v>34</v>
      </c>
      <c r="AY2" s="4" t="s">
        <v>35</v>
      </c>
      <c r="AZ2" s="4" t="s">
        <v>36</v>
      </c>
      <c r="BA2" s="4" t="s">
        <v>37</v>
      </c>
      <c r="BB2" s="4" t="s">
        <v>38</v>
      </c>
    </row>
    <row r="3" spans="1:56" s="3" customFormat="1" x14ac:dyDescent="0.2">
      <c r="A3" s="221"/>
      <c r="D3" s="220" t="s">
        <v>96</v>
      </c>
      <c r="E3" s="3" t="s">
        <v>39</v>
      </c>
      <c r="F3" s="3" t="s">
        <v>40</v>
      </c>
      <c r="G3" s="3" t="s">
        <v>41</v>
      </c>
      <c r="H3" s="3" t="s">
        <v>42</v>
      </c>
      <c r="I3" s="3" t="s">
        <v>43</v>
      </c>
      <c r="J3" s="3" t="s">
        <v>44</v>
      </c>
      <c r="K3" s="3" t="s">
        <v>45</v>
      </c>
      <c r="L3" s="3" t="s">
        <v>46</v>
      </c>
      <c r="M3" s="3" t="s">
        <v>47</v>
      </c>
      <c r="N3" s="3" t="s">
        <v>48</v>
      </c>
      <c r="O3" s="3" t="s">
        <v>49</v>
      </c>
      <c r="P3" s="3" t="s">
        <v>50</v>
      </c>
      <c r="Q3" s="3" t="s">
        <v>51</v>
      </c>
      <c r="R3" s="3" t="s">
        <v>52</v>
      </c>
      <c r="S3" s="3" t="s">
        <v>53</v>
      </c>
      <c r="T3" s="3" t="s">
        <v>54</v>
      </c>
      <c r="U3" s="3" t="s">
        <v>55</v>
      </c>
      <c r="V3" s="3" t="s">
        <v>56</v>
      </c>
      <c r="W3" s="3" t="s">
        <v>57</v>
      </c>
      <c r="X3" s="3" t="s">
        <v>58</v>
      </c>
      <c r="Y3" s="3" t="s">
        <v>59</v>
      </c>
      <c r="Z3" s="3" t="s">
        <v>60</v>
      </c>
      <c r="AA3" s="3" t="s">
        <v>61</v>
      </c>
      <c r="AB3" s="3" t="s">
        <v>62</v>
      </c>
      <c r="AC3" s="3" t="s">
        <v>63</v>
      </c>
      <c r="AD3" s="3" t="s">
        <v>64</v>
      </c>
      <c r="AE3" s="3" t="s">
        <v>65</v>
      </c>
      <c r="AF3" s="3" t="s">
        <v>66</v>
      </c>
      <c r="AG3" s="3" t="s">
        <v>67</v>
      </c>
      <c r="AH3" s="3" t="s">
        <v>68</v>
      </c>
      <c r="AI3" s="3" t="s">
        <v>69</v>
      </c>
      <c r="AJ3" s="3" t="s">
        <v>70</v>
      </c>
      <c r="AK3" s="3" t="s">
        <v>71</v>
      </c>
      <c r="AL3" s="3" t="s">
        <v>72</v>
      </c>
      <c r="AM3" s="3" t="s">
        <v>73</v>
      </c>
      <c r="AN3" s="3" t="s">
        <v>74</v>
      </c>
      <c r="AO3" s="3" t="s">
        <v>75</v>
      </c>
      <c r="AP3" s="3" t="s">
        <v>76</v>
      </c>
      <c r="AQ3" s="3" t="s">
        <v>77</v>
      </c>
      <c r="AR3" s="3" t="s">
        <v>78</v>
      </c>
      <c r="AS3" s="3" t="s">
        <v>79</v>
      </c>
      <c r="AT3" s="3" t="s">
        <v>80</v>
      </c>
      <c r="AU3" s="3" t="s">
        <v>81</v>
      </c>
      <c r="AV3" s="3" t="s">
        <v>82</v>
      </c>
      <c r="AW3" s="3" t="s">
        <v>83</v>
      </c>
      <c r="AX3" s="3" t="s">
        <v>84</v>
      </c>
      <c r="AY3" s="3" t="s">
        <v>85</v>
      </c>
      <c r="AZ3" s="3" t="s">
        <v>86</v>
      </c>
      <c r="BA3" s="3" t="s">
        <v>87</v>
      </c>
      <c r="BB3" s="3" t="s">
        <v>88</v>
      </c>
      <c r="BD3" s="2"/>
    </row>
    <row r="4" spans="1:56" s="3" customFormat="1" x14ac:dyDescent="0.2">
      <c r="A4" s="221">
        <v>1</v>
      </c>
      <c r="B4" s="213" t="s">
        <v>105</v>
      </c>
      <c r="C4" s="218" t="s">
        <v>559</v>
      </c>
      <c r="D4" s="219">
        <f>D5/1000</f>
        <v>10688.651</v>
      </c>
      <c r="E4" s="219">
        <f t="shared" ref="E4:BB4" si="43">E5/1000</f>
        <v>135.79499999999999</v>
      </c>
      <c r="F4" s="219">
        <f t="shared" si="43"/>
        <v>25.437999999999999</v>
      </c>
      <c r="G4" s="219">
        <f t="shared" si="43"/>
        <v>221.613</v>
      </c>
      <c r="H4" s="219">
        <f t="shared" si="43"/>
        <v>80.010000000000005</v>
      </c>
      <c r="I4" s="219">
        <f t="shared" si="43"/>
        <v>1404.8910000000001</v>
      </c>
      <c r="J4" s="219">
        <f t="shared" si="43"/>
        <v>178.017</v>
      </c>
      <c r="K4" s="219">
        <f t="shared" si="43"/>
        <v>149.79900000000001</v>
      </c>
      <c r="L4" s="219">
        <f t="shared" si="43"/>
        <v>33.731000000000002</v>
      </c>
      <c r="M4" s="219">
        <f t="shared" si="43"/>
        <v>694.56</v>
      </c>
      <c r="N4" s="219">
        <f t="shared" si="43"/>
        <v>304.88200000000001</v>
      </c>
      <c r="O4" s="219">
        <f t="shared" si="43"/>
        <v>50.62</v>
      </c>
      <c r="P4" s="219">
        <f t="shared" si="43"/>
        <v>49.238</v>
      </c>
      <c r="Q4" s="219">
        <f t="shared" si="43"/>
        <v>445.298</v>
      </c>
      <c r="R4" s="219">
        <f t="shared" si="43"/>
        <v>201.214</v>
      </c>
      <c r="S4" s="219">
        <f t="shared" si="43"/>
        <v>95.521000000000001</v>
      </c>
      <c r="T4" s="219">
        <f t="shared" si="43"/>
        <v>88.322000000000003</v>
      </c>
      <c r="U4" s="219">
        <f t="shared" si="43"/>
        <v>127.46599999999999</v>
      </c>
      <c r="V4" s="219">
        <f t="shared" si="43"/>
        <v>147.58799999999999</v>
      </c>
      <c r="W4" s="219">
        <f t="shared" si="43"/>
        <v>48.161000000000001</v>
      </c>
      <c r="X4" s="219">
        <f t="shared" si="43"/>
        <v>226.12799999999999</v>
      </c>
      <c r="Y4" s="219">
        <f t="shared" si="43"/>
        <v>295.90600000000001</v>
      </c>
      <c r="Z4" s="219">
        <f t="shared" si="43"/>
        <v>308.26600000000002</v>
      </c>
      <c r="AA4" s="219">
        <f t="shared" si="43"/>
        <v>193.46</v>
      </c>
      <c r="AB4" s="219">
        <f t="shared" si="43"/>
        <v>83.549000000000007</v>
      </c>
      <c r="AC4" s="219">
        <f t="shared" si="43"/>
        <v>193.565</v>
      </c>
      <c r="AD4" s="219">
        <f t="shared" si="43"/>
        <v>35.433</v>
      </c>
      <c r="AE4" s="219">
        <f t="shared" si="43"/>
        <v>59.222000000000001</v>
      </c>
      <c r="AF4" s="219">
        <f t="shared" si="43"/>
        <v>93.35</v>
      </c>
      <c r="AG4" s="219">
        <f t="shared" si="43"/>
        <v>50.588000000000001</v>
      </c>
      <c r="AH4" s="219">
        <f t="shared" si="43"/>
        <v>357.39299999999997</v>
      </c>
      <c r="AI4" s="219">
        <f t="shared" si="43"/>
        <v>65.370999999999995</v>
      </c>
      <c r="AJ4" s="219">
        <f t="shared" si="43"/>
        <v>759.28399999999999</v>
      </c>
      <c r="AK4" s="219">
        <f t="shared" si="43"/>
        <v>295.952</v>
      </c>
      <c r="AL4" s="219">
        <f t="shared" si="43"/>
        <v>25.437999999999999</v>
      </c>
      <c r="AM4" s="219">
        <f t="shared" si="43"/>
        <v>358.50099999999998</v>
      </c>
      <c r="AN4" s="219">
        <f t="shared" si="43"/>
        <v>115.96</v>
      </c>
      <c r="AO4" s="219">
        <f t="shared" si="43"/>
        <v>135.232</v>
      </c>
      <c r="AP4" s="219">
        <f t="shared" si="43"/>
        <v>438.07299999999998</v>
      </c>
      <c r="AQ4" s="219">
        <f t="shared" si="43"/>
        <v>38.293999999999997</v>
      </c>
      <c r="AR4" s="219">
        <f t="shared" si="43"/>
        <v>143.25299999999999</v>
      </c>
      <c r="AS4" s="219">
        <f t="shared" si="43"/>
        <v>27.742000000000001</v>
      </c>
      <c r="AT4" s="219">
        <f t="shared" si="43"/>
        <v>197.82400000000001</v>
      </c>
      <c r="AU4" s="219">
        <f t="shared" si="43"/>
        <v>785.23199999999997</v>
      </c>
      <c r="AV4" s="219">
        <f t="shared" si="43"/>
        <v>84.093999999999994</v>
      </c>
      <c r="AW4" s="219">
        <f t="shared" si="43"/>
        <v>23.34</v>
      </c>
      <c r="AX4" s="219">
        <f t="shared" si="43"/>
        <v>292.84300000000002</v>
      </c>
      <c r="AY4" s="219">
        <f t="shared" si="43"/>
        <v>260.85399999999998</v>
      </c>
      <c r="AZ4" s="219">
        <f t="shared" si="43"/>
        <v>57.085000000000001</v>
      </c>
      <c r="BA4" s="219">
        <f t="shared" si="43"/>
        <v>185.80500000000001</v>
      </c>
      <c r="BB4" s="219">
        <f t="shared" si="43"/>
        <v>19.45</v>
      </c>
      <c r="BD4" s="2"/>
    </row>
    <row r="5" spans="1:56" s="14" customFormat="1" x14ac:dyDescent="0.2">
      <c r="A5" s="222">
        <v>2</v>
      </c>
      <c r="B5" s="217" t="s">
        <v>105</v>
      </c>
      <c r="C5" s="95" t="s">
        <v>580</v>
      </c>
      <c r="D5" s="212">
        <f>SUM(E5:BB5)</f>
        <v>10688651</v>
      </c>
      <c r="E5" s="217">
        <v>135795</v>
      </c>
      <c r="F5" s="217">
        <v>25438</v>
      </c>
      <c r="G5" s="217">
        <v>221613</v>
      </c>
      <c r="H5" s="217">
        <v>80010</v>
      </c>
      <c r="I5" s="217">
        <v>1404891</v>
      </c>
      <c r="J5" s="217">
        <v>178017</v>
      </c>
      <c r="K5" s="217">
        <v>149799</v>
      </c>
      <c r="L5" s="217">
        <v>33731</v>
      </c>
      <c r="M5" s="217">
        <v>694560</v>
      </c>
      <c r="N5" s="217">
        <v>304882</v>
      </c>
      <c r="O5" s="217">
        <v>50620</v>
      </c>
      <c r="P5" s="217">
        <v>49238</v>
      </c>
      <c r="Q5" s="217">
        <v>445298</v>
      </c>
      <c r="R5" s="217">
        <v>201214</v>
      </c>
      <c r="S5" s="217">
        <v>95521</v>
      </c>
      <c r="T5" s="217">
        <v>88322</v>
      </c>
      <c r="U5" s="217">
        <v>127466</v>
      </c>
      <c r="V5" s="217">
        <v>147588</v>
      </c>
      <c r="W5" s="217">
        <v>48161</v>
      </c>
      <c r="X5" s="217">
        <v>226128</v>
      </c>
      <c r="Y5" s="217">
        <v>295906</v>
      </c>
      <c r="Z5" s="217">
        <v>308266</v>
      </c>
      <c r="AA5" s="217">
        <v>193460</v>
      </c>
      <c r="AB5" s="217">
        <v>83549</v>
      </c>
      <c r="AC5" s="217">
        <v>193565</v>
      </c>
      <c r="AD5" s="217">
        <v>35433</v>
      </c>
      <c r="AE5" s="217">
        <v>59222</v>
      </c>
      <c r="AF5" s="217">
        <v>93350</v>
      </c>
      <c r="AG5" s="217">
        <v>50588</v>
      </c>
      <c r="AH5" s="217">
        <v>357393</v>
      </c>
      <c r="AI5" s="217">
        <v>65371</v>
      </c>
      <c r="AJ5" s="217">
        <v>759284</v>
      </c>
      <c r="AK5" s="217">
        <v>295952</v>
      </c>
      <c r="AL5" s="217">
        <v>25438</v>
      </c>
      <c r="AM5" s="217">
        <v>358501</v>
      </c>
      <c r="AN5" s="217">
        <v>115960</v>
      </c>
      <c r="AO5" s="217">
        <v>135232</v>
      </c>
      <c r="AP5" s="217">
        <v>438073</v>
      </c>
      <c r="AQ5" s="217">
        <v>38294</v>
      </c>
      <c r="AR5" s="217">
        <v>143253</v>
      </c>
      <c r="AS5" s="217">
        <v>27742</v>
      </c>
      <c r="AT5" s="217">
        <v>197824</v>
      </c>
      <c r="AU5" s="217">
        <v>785232</v>
      </c>
      <c r="AV5" s="217">
        <v>84094</v>
      </c>
      <c r="AW5" s="217">
        <v>23340</v>
      </c>
      <c r="AX5" s="217">
        <v>292843</v>
      </c>
      <c r="AY5" s="217">
        <v>260854</v>
      </c>
      <c r="AZ5" s="217">
        <v>57085</v>
      </c>
      <c r="BA5" s="217">
        <v>185805</v>
      </c>
      <c r="BB5" s="217">
        <v>19450</v>
      </c>
      <c r="BC5" s="302"/>
      <c r="BD5" s="302"/>
    </row>
    <row r="7" spans="1:56" x14ac:dyDescent="0.2">
      <c r="D7" s="266"/>
    </row>
    <row r="8" spans="1:56" x14ac:dyDescent="0.2">
      <c r="B8" s="59" t="s">
        <v>579</v>
      </c>
    </row>
    <row r="9" spans="1:56" x14ac:dyDescent="0.2">
      <c r="A9" s="126">
        <v>1</v>
      </c>
      <c r="B9" t="s">
        <v>748</v>
      </c>
    </row>
    <row r="10" spans="1:56" x14ac:dyDescent="0.2">
      <c r="A10" s="126">
        <v>2</v>
      </c>
      <c r="B10" t="s">
        <v>626</v>
      </c>
    </row>
    <row r="11" spans="1:56" x14ac:dyDescent="0.2">
      <c r="B11" s="80"/>
    </row>
  </sheetData>
  <phoneticPr fontId="103" type="noConversion"/>
  <pageMargins left="0.75" right="0.75" top="1" bottom="1" header="0.5" footer="0.5"/>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3"/>
  <sheetViews>
    <sheetView topLeftCell="A2" workbookViewId="0">
      <selection activeCell="C20" sqref="C20"/>
    </sheetView>
  </sheetViews>
  <sheetFormatPr baseColWidth="10" defaultColWidth="11" defaultRowHeight="16" x14ac:dyDescent="0.2"/>
  <cols>
    <col min="2" max="2" width="37.5" bestFit="1" customWidth="1"/>
    <col min="3" max="3" width="11.6640625" bestFit="1" customWidth="1"/>
    <col min="4" max="7" width="11.1640625" bestFit="1" customWidth="1"/>
    <col min="8" max="8" width="11.6640625" bestFit="1" customWidth="1"/>
    <col min="9" max="53" width="11.1640625" bestFit="1" customWidth="1"/>
  </cols>
  <sheetData>
    <row r="1" spans="1:55" s="3" customFormat="1" x14ac:dyDescent="0.2">
      <c r="B1" s="3">
        <v>2011</v>
      </c>
      <c r="C1" s="220"/>
      <c r="D1" s="3">
        <v>1</v>
      </c>
      <c r="E1" s="3">
        <f>D1+1</f>
        <v>2</v>
      </c>
      <c r="F1" s="3">
        <f t="shared" ref="F1:K1" si="0">E1+1</f>
        <v>3</v>
      </c>
      <c r="G1" s="3">
        <f t="shared" si="0"/>
        <v>4</v>
      </c>
      <c r="H1" s="3">
        <f t="shared" si="0"/>
        <v>5</v>
      </c>
      <c r="I1" s="3">
        <f t="shared" si="0"/>
        <v>6</v>
      </c>
      <c r="J1" s="3">
        <f t="shared" si="0"/>
        <v>7</v>
      </c>
      <c r="K1" s="3">
        <f t="shared" si="0"/>
        <v>8</v>
      </c>
      <c r="L1" s="3">
        <f t="shared" ref="L1" si="1">K1+1</f>
        <v>9</v>
      </c>
      <c r="M1" s="3">
        <f t="shared" ref="M1" si="2">L1+1</f>
        <v>10</v>
      </c>
      <c r="N1" s="3">
        <f t="shared" ref="N1" si="3">M1+1</f>
        <v>11</v>
      </c>
      <c r="O1" s="3">
        <f t="shared" ref="O1" si="4">N1+1</f>
        <v>12</v>
      </c>
      <c r="P1" s="3">
        <f t="shared" ref="P1" si="5">O1+1</f>
        <v>13</v>
      </c>
      <c r="Q1" s="3">
        <f t="shared" ref="Q1" si="6">P1+1</f>
        <v>14</v>
      </c>
      <c r="R1" s="3">
        <f t="shared" ref="R1" si="7">Q1+1</f>
        <v>15</v>
      </c>
      <c r="S1" s="3">
        <f t="shared" ref="S1" si="8">R1+1</f>
        <v>16</v>
      </c>
      <c r="T1" s="3">
        <f t="shared" ref="T1" si="9">S1+1</f>
        <v>17</v>
      </c>
      <c r="U1" s="3">
        <f t="shared" ref="U1" si="10">T1+1</f>
        <v>18</v>
      </c>
      <c r="V1" s="3">
        <f t="shared" ref="V1" si="11">U1+1</f>
        <v>19</v>
      </c>
      <c r="W1" s="3">
        <f t="shared" ref="W1" si="12">V1+1</f>
        <v>20</v>
      </c>
      <c r="X1" s="3">
        <f t="shared" ref="X1" si="13">W1+1</f>
        <v>21</v>
      </c>
      <c r="Y1" s="3">
        <f t="shared" ref="Y1" si="14">X1+1</f>
        <v>22</v>
      </c>
      <c r="Z1" s="3">
        <f t="shared" ref="Z1" si="15">Y1+1</f>
        <v>23</v>
      </c>
      <c r="AA1" s="3">
        <f t="shared" ref="AA1" si="16">Z1+1</f>
        <v>24</v>
      </c>
      <c r="AB1" s="3">
        <f t="shared" ref="AB1" si="17">AA1+1</f>
        <v>25</v>
      </c>
      <c r="AC1" s="3">
        <f t="shared" ref="AC1" si="18">AB1+1</f>
        <v>26</v>
      </c>
      <c r="AD1" s="3">
        <f t="shared" ref="AD1" si="19">AC1+1</f>
        <v>27</v>
      </c>
      <c r="AE1" s="3">
        <f t="shared" ref="AE1" si="20">AD1+1</f>
        <v>28</v>
      </c>
      <c r="AF1" s="3">
        <f t="shared" ref="AF1" si="21">AE1+1</f>
        <v>29</v>
      </c>
      <c r="AG1" s="3">
        <f t="shared" ref="AG1" si="22">AF1+1</f>
        <v>30</v>
      </c>
      <c r="AH1" s="3">
        <f t="shared" ref="AH1" si="23">AG1+1</f>
        <v>31</v>
      </c>
      <c r="AI1" s="3">
        <f t="shared" ref="AI1" si="24">AH1+1</f>
        <v>32</v>
      </c>
      <c r="AJ1" s="3">
        <f t="shared" ref="AJ1" si="25">AI1+1</f>
        <v>33</v>
      </c>
      <c r="AK1" s="3">
        <f t="shared" ref="AK1" si="26">AJ1+1</f>
        <v>34</v>
      </c>
      <c r="AL1" s="3">
        <f t="shared" ref="AL1" si="27">AK1+1</f>
        <v>35</v>
      </c>
      <c r="AM1" s="3">
        <f t="shared" ref="AM1" si="28">AL1+1</f>
        <v>36</v>
      </c>
      <c r="AN1" s="3">
        <f t="shared" ref="AN1" si="29">AM1+1</f>
        <v>37</v>
      </c>
      <c r="AO1" s="3">
        <f t="shared" ref="AO1" si="30">AN1+1</f>
        <v>38</v>
      </c>
      <c r="AP1" s="3">
        <f t="shared" ref="AP1" si="31">AO1+1</f>
        <v>39</v>
      </c>
      <c r="AQ1" s="3">
        <f t="shared" ref="AQ1" si="32">AP1+1</f>
        <v>40</v>
      </c>
      <c r="AR1" s="3">
        <f t="shared" ref="AR1" si="33">AQ1+1</f>
        <v>41</v>
      </c>
      <c r="AS1" s="3">
        <f t="shared" ref="AS1" si="34">AR1+1</f>
        <v>42</v>
      </c>
      <c r="AT1" s="3">
        <f t="shared" ref="AT1" si="35">AS1+1</f>
        <v>43</v>
      </c>
      <c r="AU1" s="3">
        <f t="shared" ref="AU1" si="36">AT1+1</f>
        <v>44</v>
      </c>
      <c r="AV1" s="3">
        <f t="shared" ref="AV1" si="37">AU1+1</f>
        <v>45</v>
      </c>
      <c r="AW1" s="3">
        <f t="shared" ref="AW1" si="38">AV1+1</f>
        <v>46</v>
      </c>
      <c r="AX1" s="3">
        <f t="shared" ref="AX1" si="39">AW1+1</f>
        <v>47</v>
      </c>
      <c r="AY1" s="3">
        <f t="shared" ref="AY1" si="40">AX1+1</f>
        <v>48</v>
      </c>
      <c r="AZ1" s="3">
        <f t="shared" ref="AZ1" si="41">AY1+1</f>
        <v>49</v>
      </c>
      <c r="BA1" s="3">
        <f t="shared" ref="BA1" si="42">AZ1+1</f>
        <v>50</v>
      </c>
      <c r="BC1" s="2"/>
    </row>
    <row r="2" spans="1:55" s="3" customFormat="1" x14ac:dyDescent="0.2">
      <c r="C2" s="220" t="s">
        <v>95</v>
      </c>
      <c r="D2" s="4" t="s">
        <v>144</v>
      </c>
      <c r="E2" s="4" t="s">
        <v>145</v>
      </c>
      <c r="F2" s="4" t="s">
        <v>146</v>
      </c>
      <c r="G2" s="4" t="s">
        <v>147</v>
      </c>
      <c r="H2" s="4" t="s">
        <v>148</v>
      </c>
      <c r="I2" s="4" t="s">
        <v>149</v>
      </c>
      <c r="J2" s="4" t="s">
        <v>150</v>
      </c>
      <c r="K2" s="4" t="s">
        <v>151</v>
      </c>
      <c r="L2" s="4" t="s">
        <v>152</v>
      </c>
      <c r="M2" s="4" t="s">
        <v>153</v>
      </c>
      <c r="N2" s="4" t="s">
        <v>154</v>
      </c>
      <c r="O2" s="4" t="s">
        <v>155</v>
      </c>
      <c r="P2" s="4" t="s">
        <v>156</v>
      </c>
      <c r="Q2" s="4" t="s">
        <v>2</v>
      </c>
      <c r="R2" s="4" t="s">
        <v>3</v>
      </c>
      <c r="S2" s="4" t="s">
        <v>4</v>
      </c>
      <c r="T2" s="4" t="s">
        <v>5</v>
      </c>
      <c r="U2" s="4" t="s">
        <v>6</v>
      </c>
      <c r="V2" s="4" t="s">
        <v>7</v>
      </c>
      <c r="W2" s="4" t="s">
        <v>8</v>
      </c>
      <c r="X2" s="4" t="s">
        <v>9</v>
      </c>
      <c r="Y2" s="4" t="s">
        <v>10</v>
      </c>
      <c r="Z2" s="4" t="s">
        <v>11</v>
      </c>
      <c r="AA2" s="4" t="s">
        <v>12</v>
      </c>
      <c r="AB2" s="4" t="s">
        <v>13</v>
      </c>
      <c r="AC2" s="4" t="s">
        <v>14</v>
      </c>
      <c r="AD2" s="4" t="s">
        <v>15</v>
      </c>
      <c r="AE2" s="4" t="s">
        <v>16</v>
      </c>
      <c r="AF2" s="4" t="s">
        <v>17</v>
      </c>
      <c r="AG2" s="4" t="s">
        <v>18</v>
      </c>
      <c r="AH2" s="4" t="s">
        <v>19</v>
      </c>
      <c r="AI2" s="4" t="s">
        <v>20</v>
      </c>
      <c r="AJ2" s="4" t="s">
        <v>21</v>
      </c>
      <c r="AK2" s="4" t="s">
        <v>22</v>
      </c>
      <c r="AL2" s="4" t="s">
        <v>23</v>
      </c>
      <c r="AM2" s="4" t="s">
        <v>24</v>
      </c>
      <c r="AN2" s="4" t="s">
        <v>25</v>
      </c>
      <c r="AO2" s="4" t="s">
        <v>26</v>
      </c>
      <c r="AP2" s="4" t="s">
        <v>27</v>
      </c>
      <c r="AQ2" s="4" t="s">
        <v>28</v>
      </c>
      <c r="AR2" s="4" t="s">
        <v>29</v>
      </c>
      <c r="AS2" s="4" t="s">
        <v>30</v>
      </c>
      <c r="AT2" s="4" t="s">
        <v>31</v>
      </c>
      <c r="AU2" s="4" t="s">
        <v>32</v>
      </c>
      <c r="AV2" s="4" t="s">
        <v>33</v>
      </c>
      <c r="AW2" s="4" t="s">
        <v>34</v>
      </c>
      <c r="AX2" s="4" t="s">
        <v>35</v>
      </c>
      <c r="AY2" s="4" t="s">
        <v>36</v>
      </c>
      <c r="AZ2" s="4" t="s">
        <v>37</v>
      </c>
      <c r="BA2" s="4" t="s">
        <v>38</v>
      </c>
    </row>
    <row r="3" spans="1:55" s="3" customFormat="1" x14ac:dyDescent="0.2">
      <c r="C3" s="220" t="s">
        <v>96</v>
      </c>
      <c r="D3" s="3" t="s">
        <v>39</v>
      </c>
      <c r="E3" s="3" t="s">
        <v>40</v>
      </c>
      <c r="F3" s="3" t="s">
        <v>41</v>
      </c>
      <c r="G3" s="3" t="s">
        <v>42</v>
      </c>
      <c r="H3" s="3" t="s">
        <v>43</v>
      </c>
      <c r="I3" s="3" t="s">
        <v>44</v>
      </c>
      <c r="J3" s="3" t="s">
        <v>45</v>
      </c>
      <c r="K3" s="3" t="s">
        <v>46</v>
      </c>
      <c r="L3" s="3" t="s">
        <v>47</v>
      </c>
      <c r="M3" s="3" t="s">
        <v>48</v>
      </c>
      <c r="N3" s="3" t="s">
        <v>49</v>
      </c>
      <c r="O3" s="3" t="s">
        <v>50</v>
      </c>
      <c r="P3" s="3" t="s">
        <v>51</v>
      </c>
      <c r="Q3" s="3" t="s">
        <v>52</v>
      </c>
      <c r="R3" s="3" t="s">
        <v>53</v>
      </c>
      <c r="S3" s="3" t="s">
        <v>54</v>
      </c>
      <c r="T3" s="3" t="s">
        <v>55</v>
      </c>
      <c r="U3" s="3" t="s">
        <v>56</v>
      </c>
      <c r="V3" s="3" t="s">
        <v>57</v>
      </c>
      <c r="W3" s="3" t="s">
        <v>58</v>
      </c>
      <c r="X3" s="3" t="s">
        <v>59</v>
      </c>
      <c r="Y3" s="3" t="s">
        <v>60</v>
      </c>
      <c r="Z3" s="3" t="s">
        <v>61</v>
      </c>
      <c r="AA3" s="3" t="s">
        <v>62</v>
      </c>
      <c r="AB3" s="3" t="s">
        <v>63</v>
      </c>
      <c r="AC3" s="3" t="s">
        <v>64</v>
      </c>
      <c r="AD3" s="3" t="s">
        <v>65</v>
      </c>
      <c r="AE3" s="3" t="s">
        <v>66</v>
      </c>
      <c r="AF3" s="3" t="s">
        <v>67</v>
      </c>
      <c r="AG3" s="3" t="s">
        <v>68</v>
      </c>
      <c r="AH3" s="3" t="s">
        <v>69</v>
      </c>
      <c r="AI3" s="3" t="s">
        <v>70</v>
      </c>
      <c r="AJ3" s="3" t="s">
        <v>71</v>
      </c>
      <c r="AK3" s="3" t="s">
        <v>72</v>
      </c>
      <c r="AL3" s="3" t="s">
        <v>73</v>
      </c>
      <c r="AM3" s="3" t="s">
        <v>74</v>
      </c>
      <c r="AN3" s="3" t="s">
        <v>75</v>
      </c>
      <c r="AO3" s="3" t="s">
        <v>76</v>
      </c>
      <c r="AP3" s="3" t="s">
        <v>77</v>
      </c>
      <c r="AQ3" s="3" t="s">
        <v>78</v>
      </c>
      <c r="AR3" s="3" t="s">
        <v>79</v>
      </c>
      <c r="AS3" s="3" t="s">
        <v>80</v>
      </c>
      <c r="AT3" s="3" t="s">
        <v>81</v>
      </c>
      <c r="AU3" s="3" t="s">
        <v>82</v>
      </c>
      <c r="AV3" s="3" t="s">
        <v>83</v>
      </c>
      <c r="AW3" s="3" t="s">
        <v>84</v>
      </c>
      <c r="AX3" s="3" t="s">
        <v>85</v>
      </c>
      <c r="AY3" s="3" t="s">
        <v>86</v>
      </c>
      <c r="AZ3" s="3" t="s">
        <v>87</v>
      </c>
      <c r="BA3" s="3" t="s">
        <v>88</v>
      </c>
      <c r="BC3" s="2"/>
    </row>
    <row r="4" spans="1:55" s="1" customFormat="1" x14ac:dyDescent="0.2">
      <c r="A4" s="1">
        <v>1</v>
      </c>
      <c r="B4" s="224" t="s">
        <v>1018</v>
      </c>
      <c r="C4" s="386">
        <f>SUM(D4:BA4)</f>
        <v>2451.9572741954325</v>
      </c>
      <c r="D4" s="386">
        <f>'Benefit of PCE'!E4-D11</f>
        <v>32.263859556494197</v>
      </c>
      <c r="E4" s="386">
        <f>'Benefit of PCE'!F4-E11</f>
        <v>3.0346869968284977</v>
      </c>
      <c r="F4" s="386">
        <f>'Benefit of PCE'!G4-F11</f>
        <v>47.694971739130438</v>
      </c>
      <c r="G4" s="386">
        <f>'Benefit of PCE'!H4-G11</f>
        <v>18.34558923996584</v>
      </c>
      <c r="H4" s="386">
        <f>'Benefit of PCE'!I4-H11</f>
        <v>350.93079426433928</v>
      </c>
      <c r="I4" s="386">
        <f>'Benefit of PCE'!J4-I11</f>
        <v>37.946954228421959</v>
      </c>
      <c r="J4" s="386">
        <f>'Benefit of PCE'!K4-J11</f>
        <v>38.505649516361402</v>
      </c>
      <c r="K4" s="386">
        <f>'Benefit of PCE'!L4-K11</f>
        <v>6.0813837420526831</v>
      </c>
      <c r="L4" s="386">
        <f>'Benefit of PCE'!M4-L11</f>
        <v>173.38735398046151</v>
      </c>
      <c r="M4" s="386">
        <f>'Benefit of PCE'!N4-M11</f>
        <v>74.143211740041949</v>
      </c>
      <c r="N4" s="386">
        <f>'Benefit of PCE'!O4-N11</f>
        <v>8.1326249709369876</v>
      </c>
      <c r="O4" s="386">
        <f>'Benefit of PCE'!P4-O11</f>
        <v>8.0923564814814881</v>
      </c>
      <c r="P4" s="386">
        <f>'Benefit of PCE'!Q4-P11</f>
        <v>104.57613056379824</v>
      </c>
      <c r="Q4" s="386">
        <f>'Benefit of PCE'!R4-Q11</f>
        <v>38.384468504819552</v>
      </c>
      <c r="R4" s="386">
        <f>'Benefit of PCE'!S4-R11</f>
        <v>16.066896313364055</v>
      </c>
      <c r="S4" s="386">
        <f>'Benefit of PCE'!T4-S11</f>
        <v>16.542977037370548</v>
      </c>
      <c r="T4" s="386">
        <f>'Benefit of PCE'!U4-T11</f>
        <v>29.748382671480144</v>
      </c>
      <c r="U4" s="386">
        <f>'Benefit of PCE'!V4-U11</f>
        <v>37.415816377171211</v>
      </c>
      <c r="V4" s="386">
        <f>'Benefit of PCE'!W4-V11</f>
        <v>9.6022929696163288</v>
      </c>
      <c r="W4" s="386">
        <f>'Benefit of PCE'!X4-W11</f>
        <v>43.342043887147327</v>
      </c>
      <c r="X4" s="386">
        <f>'Benefit of PCE'!Y4-X11</f>
        <v>72.007307901907382</v>
      </c>
      <c r="Y4" s="386">
        <f>'Benefit of PCE'!Z4-Y11</f>
        <v>66.973662619254156</v>
      </c>
      <c r="Z4" s="386">
        <f>'Benefit of PCE'!AA4-Z11</f>
        <v>36.022984670874678</v>
      </c>
      <c r="AA4" s="386">
        <f>'Benefit of PCE'!AB4-AA11</f>
        <v>19.850607180570222</v>
      </c>
      <c r="AB4" s="386">
        <f>'Benefit of PCE'!AC4-AB11</f>
        <v>42.020942311862967</v>
      </c>
      <c r="AC4" s="386">
        <f>'Benefit of PCE'!AD4-AC11</f>
        <v>6.0344410480349353</v>
      </c>
      <c r="AD4" s="386">
        <f>'Benefit of PCE'!AE4-AD11</f>
        <v>11.361820908887395</v>
      </c>
      <c r="AE4" s="386">
        <f>'Benefit of PCE'!AF4-AE11</f>
        <v>18.89275298276624</v>
      </c>
      <c r="AF4" s="386">
        <f>'Benefit of PCE'!AG4-AF11</f>
        <v>8.5768014722797332</v>
      </c>
      <c r="AG4" s="386">
        <f>'Benefit of PCE'!AH4-AG11</f>
        <v>82.533875585854275</v>
      </c>
      <c r="AH4" s="386">
        <f>'Benefit of PCE'!AI4-AH11</f>
        <v>16.420717900850448</v>
      </c>
      <c r="AI4" s="386">
        <f>'Benefit of PCE'!AJ4-AI11</f>
        <v>214.67536896483216</v>
      </c>
      <c r="AJ4" s="386">
        <f>'Benefit of PCE'!AK4-AJ11</f>
        <v>69.406893977947419</v>
      </c>
      <c r="AK4" s="386">
        <f>'Benefit of PCE'!AL4-AK11</f>
        <v>4.7925008992805722</v>
      </c>
      <c r="AL4" s="386">
        <f>'Benefit of PCE'!AM4-AL11</f>
        <v>76.788198519808418</v>
      </c>
      <c r="AM4" s="386">
        <f>'Benefit of PCE'!AN4-AM11</f>
        <v>25.213067418166048</v>
      </c>
      <c r="AN4" s="386">
        <f>'Benefit of PCE'!AO4-AN11</f>
        <v>28.780294810292204</v>
      </c>
      <c r="AO4" s="386">
        <f>'Benefit of PCE'!AP4-AO11</f>
        <v>95.101078507915872</v>
      </c>
      <c r="AP4" s="386">
        <f>'Benefit of PCE'!AQ4-AP11</f>
        <v>8.7173333333333325</v>
      </c>
      <c r="AQ4" s="386">
        <f>'Benefit of PCE'!AR4-AQ11</f>
        <v>31.99152624784854</v>
      </c>
      <c r="AR4" s="386">
        <f>'Benefit of PCE'!AS4-AR11</f>
        <v>4.5808945420906575</v>
      </c>
      <c r="AS4" s="386">
        <f>'Benefit of PCE'!AT4-AS11</f>
        <v>47.66743145500422</v>
      </c>
      <c r="AT4" s="386">
        <f>'Benefit of PCE'!AU4-AT11</f>
        <v>191.08244644728575</v>
      </c>
      <c r="AU4" s="386">
        <f>'Benefit of PCE'!AV4-AU11</f>
        <v>12.646755942574714</v>
      </c>
      <c r="AV4" s="386">
        <f>'Benefit of PCE'!AW4-AV11</f>
        <v>3.7816434540389992</v>
      </c>
      <c r="AW4" s="386">
        <f>'Benefit of PCE'!AX4-AW11</f>
        <v>64.612596286701233</v>
      </c>
      <c r="AX4" s="386">
        <f>'Benefit of PCE'!AY4-AX11</f>
        <v>49.192291750955292</v>
      </c>
      <c r="AY4" s="386">
        <f>'Benefit of PCE'!AZ4-AY11</f>
        <v>13.433898538445249</v>
      </c>
      <c r="AZ4" s="386">
        <f>'Benefit of PCE'!BA4-AZ11</f>
        <v>32.313913043478266</v>
      </c>
      <c r="BA4" s="386">
        <f>'Benefit of PCE'!BB4-BA11</f>
        <v>2.244780691007108</v>
      </c>
    </row>
    <row r="6" spans="1:55" x14ac:dyDescent="0.2">
      <c r="A6" s="1">
        <v>1</v>
      </c>
      <c r="B6" s="224" t="s">
        <v>1032</v>
      </c>
      <c r="C6" s="225">
        <f t="shared" ref="C6:AH6" si="43">C7/(IF(InequalityCase="Original",$C$8,IF(InequalityCase="Gini 1999",$C$9,IF(InequalityCase="Optimum",$C$10,"No Case Selected"))))</f>
        <v>1.3157894736842106</v>
      </c>
      <c r="D6" s="225">
        <f t="shared" si="43"/>
        <v>1.3116343490304709</v>
      </c>
      <c r="E6" s="225">
        <f t="shared" si="43"/>
        <v>1.1354570637119115</v>
      </c>
      <c r="F6" s="225">
        <f t="shared" si="43"/>
        <v>1.2742382271468145</v>
      </c>
      <c r="G6" s="225">
        <f t="shared" si="43"/>
        <v>1.2975069252077562</v>
      </c>
      <c r="H6" s="225">
        <f t="shared" si="43"/>
        <v>1.3329639889196676</v>
      </c>
      <c r="I6" s="225">
        <f t="shared" si="43"/>
        <v>1.2709141274238227</v>
      </c>
      <c r="J6" s="225">
        <f t="shared" si="43"/>
        <v>1.3459833795013851</v>
      </c>
      <c r="K6" s="225">
        <f t="shared" si="43"/>
        <v>1.2199445983379502</v>
      </c>
      <c r="L6" s="225">
        <f t="shared" si="43"/>
        <v>1.3326869806094184</v>
      </c>
      <c r="M6" s="225">
        <f t="shared" si="43"/>
        <v>1.3213296398891967</v>
      </c>
      <c r="N6" s="225">
        <f t="shared" si="43"/>
        <v>1.1914127423822714</v>
      </c>
      <c r="O6" s="225">
        <f t="shared" si="43"/>
        <v>1.1966759002770084</v>
      </c>
      <c r="P6" s="225">
        <f t="shared" si="43"/>
        <v>1.3069252077562328</v>
      </c>
      <c r="Q6" s="225">
        <f t="shared" si="43"/>
        <v>1.2357340720221608</v>
      </c>
      <c r="R6" s="225">
        <f t="shared" si="43"/>
        <v>1.2022160664819945</v>
      </c>
      <c r="S6" s="225">
        <f t="shared" si="43"/>
        <v>1.2304709141274237</v>
      </c>
      <c r="T6" s="225">
        <f t="shared" si="43"/>
        <v>1.304432132963989</v>
      </c>
      <c r="U6" s="225">
        <f t="shared" si="43"/>
        <v>1.3396121883656509</v>
      </c>
      <c r="V6" s="225">
        <f t="shared" si="43"/>
        <v>1.2490304709141276</v>
      </c>
      <c r="W6" s="225">
        <f t="shared" si="43"/>
        <v>1.2371191135734072</v>
      </c>
      <c r="X6" s="225">
        <f t="shared" si="43"/>
        <v>1.3216066481994462</v>
      </c>
      <c r="Y6" s="225">
        <f t="shared" si="43"/>
        <v>1.2775623268698062</v>
      </c>
      <c r="Z6" s="225">
        <f t="shared" si="43"/>
        <v>1.2288088642659281</v>
      </c>
      <c r="AA6" s="225">
        <f t="shared" si="43"/>
        <v>1.3116343490304709</v>
      </c>
      <c r="AB6" s="225">
        <f t="shared" si="43"/>
        <v>1.277285318559557</v>
      </c>
      <c r="AC6" s="225">
        <f t="shared" si="43"/>
        <v>1.2052631578947368</v>
      </c>
      <c r="AD6" s="225">
        <f t="shared" si="43"/>
        <v>1.2373961218836564</v>
      </c>
      <c r="AE6" s="225">
        <f t="shared" si="43"/>
        <v>1.2537396121883657</v>
      </c>
      <c r="AF6" s="225">
        <f t="shared" si="43"/>
        <v>1.2041551246537396</v>
      </c>
      <c r="AG6" s="225">
        <f t="shared" si="43"/>
        <v>1.3002770083102493</v>
      </c>
      <c r="AH6" s="225">
        <f t="shared" si="43"/>
        <v>1.3354570637119114</v>
      </c>
      <c r="AI6" s="225">
        <f t="shared" ref="AI6:BA6" si="44">AI7/(IF(InequalityCase="Original",$C$8,IF(InequalityCase="Gini 1999",$C$9,IF(InequalityCase="Optimum",$C$10,"No Case Selected"))))</f>
        <v>1.3941828254847646</v>
      </c>
      <c r="AJ6" s="225">
        <f t="shared" si="44"/>
        <v>1.3063711911357341</v>
      </c>
      <c r="AK6" s="225">
        <f t="shared" si="44"/>
        <v>1.2321329639889196</v>
      </c>
      <c r="AL6" s="225">
        <f t="shared" si="44"/>
        <v>1.2725761772853186</v>
      </c>
      <c r="AM6" s="225">
        <f t="shared" si="44"/>
        <v>1.2778393351800554</v>
      </c>
      <c r="AN6" s="225">
        <f t="shared" si="44"/>
        <v>1.2703601108033242</v>
      </c>
      <c r="AO6" s="225">
        <f t="shared" si="44"/>
        <v>1.277285318559557</v>
      </c>
      <c r="AP6" s="225">
        <f t="shared" si="44"/>
        <v>1.2947368421052632</v>
      </c>
      <c r="AQ6" s="225">
        <f t="shared" si="44"/>
        <v>1.2875346260387812</v>
      </c>
      <c r="AR6" s="225">
        <f t="shared" si="44"/>
        <v>1.1977839335180056</v>
      </c>
      <c r="AS6" s="225">
        <f t="shared" si="44"/>
        <v>1.3174515235457065</v>
      </c>
      <c r="AT6" s="225">
        <f t="shared" si="44"/>
        <v>1.3216066481994462</v>
      </c>
      <c r="AU6" s="225">
        <f t="shared" si="44"/>
        <v>1.1770083102493074</v>
      </c>
      <c r="AV6" s="225">
        <f t="shared" si="44"/>
        <v>1.1933518005540167</v>
      </c>
      <c r="AW6" s="225">
        <f t="shared" si="44"/>
        <v>1.2831024930747923</v>
      </c>
      <c r="AX6" s="225">
        <f t="shared" si="44"/>
        <v>1.232409972299169</v>
      </c>
      <c r="AY6" s="225">
        <f t="shared" si="44"/>
        <v>1.3077562326869807</v>
      </c>
      <c r="AZ6" s="225">
        <f t="shared" si="44"/>
        <v>1.2105263157894737</v>
      </c>
      <c r="BA6" s="225">
        <f t="shared" si="44"/>
        <v>1.1304709141274238</v>
      </c>
    </row>
    <row r="7" spans="1:55" x14ac:dyDescent="0.2">
      <c r="A7" s="17">
        <v>2</v>
      </c>
      <c r="B7" s="223" t="s">
        <v>752</v>
      </c>
      <c r="C7" s="399">
        <v>0.47499999999999998</v>
      </c>
      <c r="D7" s="400">
        <v>0.47349999999999998</v>
      </c>
      <c r="E7" s="400">
        <v>0.40989999999999999</v>
      </c>
      <c r="F7" s="400">
        <v>0.46</v>
      </c>
      <c r="G7" s="400">
        <v>0.46839999999999998</v>
      </c>
      <c r="H7" s="400">
        <v>0.48120000000000002</v>
      </c>
      <c r="I7" s="400">
        <v>0.45879999999999999</v>
      </c>
      <c r="J7" s="400">
        <v>0.4859</v>
      </c>
      <c r="K7" s="400">
        <v>0.44040000000000001</v>
      </c>
      <c r="L7" s="400">
        <v>0.48110000000000003</v>
      </c>
      <c r="M7" s="400">
        <v>0.47699999999999998</v>
      </c>
      <c r="N7" s="400">
        <v>0.43009999999999998</v>
      </c>
      <c r="O7" s="400">
        <v>0.432</v>
      </c>
      <c r="P7" s="400">
        <v>0.4718</v>
      </c>
      <c r="Q7" s="400">
        <v>0.4461</v>
      </c>
      <c r="R7" s="400">
        <v>0.434</v>
      </c>
      <c r="S7" s="400">
        <v>0.44419999999999998</v>
      </c>
      <c r="T7" s="400">
        <v>0.47089999999999999</v>
      </c>
      <c r="U7" s="400">
        <v>0.48359999999999997</v>
      </c>
      <c r="V7" s="400">
        <v>0.45090000000000002</v>
      </c>
      <c r="W7" s="400">
        <v>0.4466</v>
      </c>
      <c r="X7" s="400">
        <v>0.47710000000000002</v>
      </c>
      <c r="Y7" s="400">
        <v>0.4612</v>
      </c>
      <c r="Z7" s="400">
        <v>0.44359999999999999</v>
      </c>
      <c r="AA7" s="400">
        <v>0.47349999999999998</v>
      </c>
      <c r="AB7" s="400">
        <v>0.46110000000000001</v>
      </c>
      <c r="AC7" s="400">
        <v>0.43509999999999999</v>
      </c>
      <c r="AD7" s="400">
        <v>0.44669999999999999</v>
      </c>
      <c r="AE7" s="400">
        <v>0.4526</v>
      </c>
      <c r="AF7" s="400">
        <v>0.43469999999999998</v>
      </c>
      <c r="AG7" s="400">
        <v>0.46939999999999998</v>
      </c>
      <c r="AH7" s="400">
        <v>0.48209999999999997</v>
      </c>
      <c r="AI7" s="400">
        <v>0.50329999999999997</v>
      </c>
      <c r="AJ7" s="400">
        <v>0.47160000000000002</v>
      </c>
      <c r="AK7" s="400">
        <v>0.44479999999999997</v>
      </c>
      <c r="AL7" s="400">
        <v>0.45939999999999998</v>
      </c>
      <c r="AM7" s="400">
        <v>0.46129999999999999</v>
      </c>
      <c r="AN7" s="400">
        <v>0.45860000000000001</v>
      </c>
      <c r="AO7" s="400">
        <v>0.46110000000000001</v>
      </c>
      <c r="AP7" s="400">
        <v>0.46739999999999998</v>
      </c>
      <c r="AQ7" s="400">
        <v>0.46479999999999999</v>
      </c>
      <c r="AR7" s="400">
        <v>0.43240000000000001</v>
      </c>
      <c r="AS7" s="400">
        <v>0.47560000000000002</v>
      </c>
      <c r="AT7" s="400">
        <v>0.47710000000000002</v>
      </c>
      <c r="AU7" s="400">
        <v>0.4249</v>
      </c>
      <c r="AV7" s="400">
        <v>0.43080000000000002</v>
      </c>
      <c r="AW7" s="400">
        <v>0.4632</v>
      </c>
      <c r="AX7" s="400">
        <v>0.44490000000000002</v>
      </c>
      <c r="AY7" s="400">
        <v>0.47210000000000002</v>
      </c>
      <c r="AZ7" s="400">
        <v>0.437</v>
      </c>
      <c r="BA7" s="400">
        <v>0.40810000000000002</v>
      </c>
    </row>
    <row r="8" spans="1:55" x14ac:dyDescent="0.2">
      <c r="A8" s="18">
        <v>3</v>
      </c>
      <c r="B8" s="223" t="s">
        <v>753</v>
      </c>
      <c r="C8" s="399">
        <v>0.36099999999999999</v>
      </c>
      <c r="D8" s="405">
        <v>0.39300000000000002</v>
      </c>
      <c r="E8" s="405">
        <v>0.36599999999999999</v>
      </c>
      <c r="F8" s="405">
        <v>0.36299999999999999</v>
      </c>
      <c r="G8" s="405">
        <v>0.40400000000000003</v>
      </c>
      <c r="H8" s="405">
        <v>0.35699999999999998</v>
      </c>
      <c r="I8" s="405">
        <v>0.34899999999999998</v>
      </c>
      <c r="J8" s="405">
        <v>0.33600000000000002</v>
      </c>
      <c r="K8" s="405">
        <v>0.34599999999999997</v>
      </c>
      <c r="L8" s="405">
        <v>0.39800000000000002</v>
      </c>
      <c r="M8" s="405">
        <v>0.38100000000000001</v>
      </c>
      <c r="N8" s="405">
        <v>0.35299999999999998</v>
      </c>
      <c r="O8" s="405">
        <v>0.35</v>
      </c>
      <c r="P8" s="405">
        <v>0.34200000000000003</v>
      </c>
      <c r="Q8" s="405">
        <v>0.32200000000000001</v>
      </c>
      <c r="R8" s="405">
        <v>0.34699999999999998</v>
      </c>
      <c r="S8" s="405">
        <v>0.36199999999999999</v>
      </c>
      <c r="T8" s="405">
        <v>0.39200000000000002</v>
      </c>
      <c r="U8" s="405">
        <v>0.40300000000000002</v>
      </c>
      <c r="V8" s="405">
        <v>0.32800000000000001</v>
      </c>
      <c r="W8" s="405">
        <v>0.34899999999999998</v>
      </c>
      <c r="X8" s="405">
        <v>0.33400000000000002</v>
      </c>
      <c r="Y8" s="405">
        <v>0.32900000000000001</v>
      </c>
      <c r="Z8" s="405">
        <v>0.34599999999999997</v>
      </c>
      <c r="AA8" s="405">
        <v>0.42699999999999999</v>
      </c>
      <c r="AB8" s="405">
        <v>0.36899999999999999</v>
      </c>
      <c r="AC8" s="405">
        <v>0.34899999999999998</v>
      </c>
      <c r="AD8" s="405">
        <v>0.35499999999999998</v>
      </c>
      <c r="AE8" s="405">
        <v>0.33200000000000002</v>
      </c>
      <c r="AF8" s="405">
        <v>0.317</v>
      </c>
      <c r="AG8" s="405">
        <v>0.34100000000000003</v>
      </c>
      <c r="AH8" s="405">
        <v>0.38900000000000001</v>
      </c>
      <c r="AI8" s="405">
        <v>0.36899999999999999</v>
      </c>
      <c r="AJ8" s="405">
        <v>0.372</v>
      </c>
      <c r="AK8" s="405">
        <v>0.36899999999999999</v>
      </c>
      <c r="AL8" s="405">
        <v>0.33100000000000002</v>
      </c>
      <c r="AM8" s="405">
        <v>0.38700000000000001</v>
      </c>
      <c r="AN8" s="405">
        <v>0.34499999999999997</v>
      </c>
      <c r="AO8" s="405">
        <v>0.33400000000000002</v>
      </c>
      <c r="AP8" s="405">
        <v>0.34100000000000003</v>
      </c>
      <c r="AQ8" s="405">
        <v>0.375</v>
      </c>
      <c r="AR8" s="405">
        <v>0.38600000000000001</v>
      </c>
      <c r="AS8" s="405">
        <v>0.39</v>
      </c>
      <c r="AT8" s="405">
        <v>0.38</v>
      </c>
      <c r="AU8" s="405">
        <v>0.33</v>
      </c>
      <c r="AV8" s="405">
        <v>0.34100000000000003</v>
      </c>
      <c r="AW8" s="405">
        <v>0.379</v>
      </c>
      <c r="AX8" s="405">
        <v>0.33500000000000002</v>
      </c>
      <c r="AY8" s="405">
        <v>0.371</v>
      </c>
      <c r="AZ8" s="405">
        <v>0.32600000000000001</v>
      </c>
      <c r="BA8" s="405">
        <v>0.34</v>
      </c>
    </row>
    <row r="9" spans="1:55" x14ac:dyDescent="0.2">
      <c r="A9" s="18">
        <v>4</v>
      </c>
      <c r="B9" s="403" t="s">
        <v>1033</v>
      </c>
      <c r="C9" s="401">
        <v>0.434</v>
      </c>
      <c r="D9" s="406">
        <v>0.435</v>
      </c>
      <c r="E9" s="406">
        <v>0.377</v>
      </c>
      <c r="F9" s="406">
        <v>0.42899999999999999</v>
      </c>
      <c r="G9" s="406">
        <v>0.42199999999999999</v>
      </c>
      <c r="H9" s="406">
        <v>0.45800000000000002</v>
      </c>
      <c r="I9" s="406">
        <v>0.41099999999999998</v>
      </c>
      <c r="J9" s="406">
        <v>0.44600000000000001</v>
      </c>
      <c r="K9" s="406">
        <v>0.39800000000000002</v>
      </c>
      <c r="L9" s="406">
        <v>0.44500000000000001</v>
      </c>
      <c r="M9" s="406">
        <v>0.437</v>
      </c>
      <c r="N9" s="406">
        <v>0.40100000000000002</v>
      </c>
      <c r="O9" s="406">
        <v>0.39800000000000002</v>
      </c>
      <c r="P9" s="406">
        <v>0.42499999999999999</v>
      </c>
      <c r="Q9" s="406">
        <v>0.38600000000000001</v>
      </c>
      <c r="R9" s="406">
        <v>0.376</v>
      </c>
      <c r="S9" s="406">
        <v>0.39600000000000002</v>
      </c>
      <c r="T9" s="406">
        <v>0.434</v>
      </c>
      <c r="U9" s="406">
        <v>0.45300000000000001</v>
      </c>
      <c r="V9" s="406">
        <v>0.39600000000000002</v>
      </c>
      <c r="W9" s="406">
        <v>0.40699999999999997</v>
      </c>
      <c r="X9" s="406">
        <v>0.42499999999999999</v>
      </c>
      <c r="Y9" s="406">
        <v>0.40600000000000003</v>
      </c>
      <c r="Z9" s="406">
        <v>0.38700000000000001</v>
      </c>
      <c r="AA9" s="406">
        <v>0.44600000000000001</v>
      </c>
      <c r="AB9" s="406">
        <v>0.41299999999999998</v>
      </c>
      <c r="AC9" s="406">
        <v>0.39900000000000002</v>
      </c>
      <c r="AD9" s="406">
        <v>0.38400000000000001</v>
      </c>
      <c r="AE9" s="406">
        <v>0.41099999999999998</v>
      </c>
      <c r="AF9" s="406">
        <v>0.377</v>
      </c>
      <c r="AG9" s="406">
        <v>0.43</v>
      </c>
      <c r="AH9" s="406">
        <v>0.438</v>
      </c>
      <c r="AI9" s="406">
        <v>0.47199999999999998</v>
      </c>
      <c r="AJ9" s="406">
        <v>0.42099999999999999</v>
      </c>
      <c r="AK9" s="406">
        <v>0.38300000000000001</v>
      </c>
      <c r="AL9" s="406">
        <v>0.40400000000000003</v>
      </c>
      <c r="AM9" s="406">
        <v>0.42</v>
      </c>
      <c r="AN9" s="406">
        <v>0.40799999999999997</v>
      </c>
      <c r="AO9" s="406">
        <v>0.41299999999999998</v>
      </c>
      <c r="AP9" s="406">
        <v>0.41599999999999998</v>
      </c>
      <c r="AQ9" s="406">
        <v>0.42299999999999999</v>
      </c>
      <c r="AR9" s="406">
        <v>0.39700000000000002</v>
      </c>
      <c r="AS9" s="406">
        <v>0.43099999999999999</v>
      </c>
      <c r="AT9" s="406">
        <v>0.44900000000000001</v>
      </c>
      <c r="AU9" s="406">
        <v>0.38600000000000001</v>
      </c>
      <c r="AV9" s="406">
        <v>0.38800000000000001</v>
      </c>
      <c r="AW9" s="406">
        <v>0.42299999999999999</v>
      </c>
      <c r="AX9" s="406">
        <v>0.40600000000000003</v>
      </c>
      <c r="AY9" s="406">
        <v>0.42899999999999999</v>
      </c>
      <c r="AZ9" s="406">
        <v>0.372</v>
      </c>
      <c r="BA9" s="406">
        <v>0.38600000000000001</v>
      </c>
    </row>
    <row r="10" spans="1:55" x14ac:dyDescent="0.2">
      <c r="A10" s="18">
        <v>5</v>
      </c>
      <c r="B10" s="403" t="s">
        <v>1034</v>
      </c>
      <c r="C10" s="358">
        <v>0.3</v>
      </c>
      <c r="D10" s="407">
        <f t="shared" ref="D10:K10" si="45">C10</f>
        <v>0.3</v>
      </c>
      <c r="E10" s="407">
        <f t="shared" si="45"/>
        <v>0.3</v>
      </c>
      <c r="F10" s="407">
        <f t="shared" si="45"/>
        <v>0.3</v>
      </c>
      <c r="G10" s="407">
        <f t="shared" si="45"/>
        <v>0.3</v>
      </c>
      <c r="H10" s="407">
        <f t="shared" si="45"/>
        <v>0.3</v>
      </c>
      <c r="I10" s="407">
        <f t="shared" si="45"/>
        <v>0.3</v>
      </c>
      <c r="J10" s="407">
        <f t="shared" si="45"/>
        <v>0.3</v>
      </c>
      <c r="K10" s="407">
        <f t="shared" si="45"/>
        <v>0.3</v>
      </c>
      <c r="L10" s="407">
        <f t="shared" ref="L10:BA10" si="46">K10</f>
        <v>0.3</v>
      </c>
      <c r="M10" s="407">
        <f t="shared" si="46"/>
        <v>0.3</v>
      </c>
      <c r="N10" s="407">
        <f t="shared" si="46"/>
        <v>0.3</v>
      </c>
      <c r="O10" s="407">
        <f t="shared" si="46"/>
        <v>0.3</v>
      </c>
      <c r="P10" s="407">
        <f t="shared" si="46"/>
        <v>0.3</v>
      </c>
      <c r="Q10" s="407">
        <f t="shared" si="46"/>
        <v>0.3</v>
      </c>
      <c r="R10" s="407">
        <f t="shared" si="46"/>
        <v>0.3</v>
      </c>
      <c r="S10" s="407">
        <f t="shared" si="46"/>
        <v>0.3</v>
      </c>
      <c r="T10" s="407">
        <f t="shared" si="46"/>
        <v>0.3</v>
      </c>
      <c r="U10" s="407">
        <f t="shared" si="46"/>
        <v>0.3</v>
      </c>
      <c r="V10" s="407">
        <f t="shared" si="46"/>
        <v>0.3</v>
      </c>
      <c r="W10" s="407">
        <f t="shared" si="46"/>
        <v>0.3</v>
      </c>
      <c r="X10" s="407">
        <f t="shared" si="46"/>
        <v>0.3</v>
      </c>
      <c r="Y10" s="407">
        <f t="shared" si="46"/>
        <v>0.3</v>
      </c>
      <c r="Z10" s="407">
        <f t="shared" si="46"/>
        <v>0.3</v>
      </c>
      <c r="AA10" s="407">
        <f t="shared" si="46"/>
        <v>0.3</v>
      </c>
      <c r="AB10" s="407">
        <f t="shared" si="46"/>
        <v>0.3</v>
      </c>
      <c r="AC10" s="407">
        <f t="shared" si="46"/>
        <v>0.3</v>
      </c>
      <c r="AD10" s="407">
        <f t="shared" si="46"/>
        <v>0.3</v>
      </c>
      <c r="AE10" s="407">
        <f t="shared" si="46"/>
        <v>0.3</v>
      </c>
      <c r="AF10" s="407">
        <f t="shared" si="46"/>
        <v>0.3</v>
      </c>
      <c r="AG10" s="407">
        <f t="shared" si="46"/>
        <v>0.3</v>
      </c>
      <c r="AH10" s="407">
        <f t="shared" si="46"/>
        <v>0.3</v>
      </c>
      <c r="AI10" s="407">
        <f t="shared" si="46"/>
        <v>0.3</v>
      </c>
      <c r="AJ10" s="407">
        <f t="shared" si="46"/>
        <v>0.3</v>
      </c>
      <c r="AK10" s="407">
        <f t="shared" si="46"/>
        <v>0.3</v>
      </c>
      <c r="AL10" s="407">
        <f t="shared" si="46"/>
        <v>0.3</v>
      </c>
      <c r="AM10" s="407">
        <f t="shared" si="46"/>
        <v>0.3</v>
      </c>
      <c r="AN10" s="407">
        <f t="shared" si="46"/>
        <v>0.3</v>
      </c>
      <c r="AO10" s="407">
        <f t="shared" si="46"/>
        <v>0.3</v>
      </c>
      <c r="AP10" s="407">
        <f t="shared" si="46"/>
        <v>0.3</v>
      </c>
      <c r="AQ10" s="407">
        <f t="shared" si="46"/>
        <v>0.3</v>
      </c>
      <c r="AR10" s="407">
        <f t="shared" si="46"/>
        <v>0.3</v>
      </c>
      <c r="AS10" s="407">
        <f t="shared" si="46"/>
        <v>0.3</v>
      </c>
      <c r="AT10" s="407">
        <f t="shared" si="46"/>
        <v>0.3</v>
      </c>
      <c r="AU10" s="407">
        <f t="shared" si="46"/>
        <v>0.3</v>
      </c>
      <c r="AV10" s="407">
        <f t="shared" si="46"/>
        <v>0.3</v>
      </c>
      <c r="AW10" s="407">
        <f t="shared" si="46"/>
        <v>0.3</v>
      </c>
      <c r="AX10" s="407">
        <f t="shared" si="46"/>
        <v>0.3</v>
      </c>
      <c r="AY10" s="407">
        <f t="shared" si="46"/>
        <v>0.3</v>
      </c>
      <c r="AZ10" s="407">
        <f t="shared" si="46"/>
        <v>0.3</v>
      </c>
      <c r="BA10" s="407">
        <f t="shared" si="46"/>
        <v>0.3</v>
      </c>
    </row>
    <row r="11" spans="1:55" x14ac:dyDescent="0.2">
      <c r="A11" s="1">
        <v>1</v>
      </c>
      <c r="B11" s="224" t="s">
        <v>581</v>
      </c>
      <c r="C11" s="386">
        <f>SUM(D11:BA11)</f>
        <v>8236.6937258045673</v>
      </c>
      <c r="D11" s="386">
        <f>'Benefit of PCE'!E4/'Cost of Inequality'!D6</f>
        <v>103.53114044350579</v>
      </c>
      <c r="E11" s="386">
        <f>'Benefit of PCE'!F4/'Cost of Inequality'!E6</f>
        <v>22.403313003171501</v>
      </c>
      <c r="F11" s="386">
        <f>'Benefit of PCE'!G4/'Cost of Inequality'!F6</f>
        <v>173.91802826086956</v>
      </c>
      <c r="G11" s="386">
        <f>'Benefit of PCE'!H4/'Cost of Inequality'!G6</f>
        <v>61.664410760034166</v>
      </c>
      <c r="H11" s="386">
        <f>'Benefit of PCE'!I4/'Cost of Inequality'!H6</f>
        <v>1053.9602057356608</v>
      </c>
      <c r="I11" s="386">
        <f>'Benefit of PCE'!J4/'Cost of Inequality'!I6</f>
        <v>140.07004577157804</v>
      </c>
      <c r="J11" s="386">
        <f>'Benefit of PCE'!K4/'Cost of Inequality'!J6</f>
        <v>111.2933504836386</v>
      </c>
      <c r="K11" s="386">
        <f>'Benefit of PCE'!L4/'Cost of Inequality'!K6</f>
        <v>27.649616257947319</v>
      </c>
      <c r="L11" s="386">
        <f>'Benefit of PCE'!M4/'Cost of Inequality'!L6</f>
        <v>521.17264601953843</v>
      </c>
      <c r="M11" s="386">
        <f>'Benefit of PCE'!N4/'Cost of Inequality'!M6</f>
        <v>230.73878825995806</v>
      </c>
      <c r="N11" s="386">
        <f>'Benefit of PCE'!O4/'Cost of Inequality'!N6</f>
        <v>42.48737502906301</v>
      </c>
      <c r="O11" s="386">
        <f>'Benefit of PCE'!P4/'Cost of Inequality'!O6</f>
        <v>41.145643518518511</v>
      </c>
      <c r="P11" s="386">
        <f>'Benefit of PCE'!Q4/'Cost of Inequality'!P6</f>
        <v>340.72186943620176</v>
      </c>
      <c r="Q11" s="386">
        <f>'Benefit of PCE'!R4/'Cost of Inequality'!Q6</f>
        <v>162.82953149518045</v>
      </c>
      <c r="R11" s="386">
        <f>'Benefit of PCE'!S4/'Cost of Inequality'!R6</f>
        <v>79.454103686635946</v>
      </c>
      <c r="S11" s="386">
        <f>'Benefit of PCE'!T4/'Cost of Inequality'!S6</f>
        <v>71.779022962629455</v>
      </c>
      <c r="T11" s="386">
        <f>'Benefit of PCE'!U4/'Cost of Inequality'!T6</f>
        <v>97.71761732851985</v>
      </c>
      <c r="U11" s="386">
        <f>'Benefit of PCE'!V4/'Cost of Inequality'!U6</f>
        <v>110.17218362282878</v>
      </c>
      <c r="V11" s="386">
        <f>'Benefit of PCE'!W4/'Cost of Inequality'!V6</f>
        <v>38.558707030383673</v>
      </c>
      <c r="W11" s="386">
        <f>'Benefit of PCE'!X4/'Cost of Inequality'!W6</f>
        <v>182.78595611285266</v>
      </c>
      <c r="X11" s="386">
        <f>'Benefit of PCE'!Y4/'Cost of Inequality'!X6</f>
        <v>223.89869209809262</v>
      </c>
      <c r="Y11" s="386">
        <f>'Benefit of PCE'!Z4/'Cost of Inequality'!Y6</f>
        <v>241.29233738074586</v>
      </c>
      <c r="Z11" s="386">
        <f>'Benefit of PCE'!AA4/'Cost of Inequality'!Z6</f>
        <v>157.43701532912533</v>
      </c>
      <c r="AA11" s="386">
        <f>'Benefit of PCE'!AB4/'Cost of Inequality'!AA6</f>
        <v>63.698392819429785</v>
      </c>
      <c r="AB11" s="386">
        <f>'Benefit of PCE'!AC4/'Cost of Inequality'!AB6</f>
        <v>151.54405768813703</v>
      </c>
      <c r="AC11" s="386">
        <f>'Benefit of PCE'!AD4/'Cost of Inequality'!AC6</f>
        <v>29.398558951965065</v>
      </c>
      <c r="AD11" s="386">
        <f>'Benefit of PCE'!AE4/'Cost of Inequality'!AD6</f>
        <v>47.860179091112606</v>
      </c>
      <c r="AE11" s="386">
        <f>'Benefit of PCE'!AF4/'Cost of Inequality'!AE6</f>
        <v>74.457247017233755</v>
      </c>
      <c r="AF11" s="386">
        <f>'Benefit of PCE'!AG4/'Cost of Inequality'!AF6</f>
        <v>42.011198527720268</v>
      </c>
      <c r="AG11" s="386">
        <f>'Benefit of PCE'!AH4/'Cost of Inequality'!AG6</f>
        <v>274.8591244141457</v>
      </c>
      <c r="AH11" s="386">
        <f>'Benefit of PCE'!AI4/'Cost of Inequality'!AH6</f>
        <v>48.950282099149547</v>
      </c>
      <c r="AI11" s="386">
        <f>'Benefit of PCE'!AJ4/'Cost of Inequality'!AI6</f>
        <v>544.60863103516783</v>
      </c>
      <c r="AJ11" s="386">
        <f>'Benefit of PCE'!AK4/'Cost of Inequality'!AJ6</f>
        <v>226.54510602205258</v>
      </c>
      <c r="AK11" s="386">
        <f>'Benefit of PCE'!AL4/'Cost of Inequality'!AK6</f>
        <v>20.645499100719427</v>
      </c>
      <c r="AL11" s="386">
        <f>'Benefit of PCE'!AM4/'Cost of Inequality'!AL6</f>
        <v>281.71280148019156</v>
      </c>
      <c r="AM11" s="386">
        <f>'Benefit of PCE'!AN4/'Cost of Inequality'!AM6</f>
        <v>90.746932581833946</v>
      </c>
      <c r="AN11" s="386">
        <f>'Benefit of PCE'!AO4/'Cost of Inequality'!AN6</f>
        <v>106.45170518970779</v>
      </c>
      <c r="AO11" s="386">
        <f>'Benefit of PCE'!AP4/'Cost of Inequality'!AO6</f>
        <v>342.97192149208411</v>
      </c>
      <c r="AP11" s="386">
        <f>'Benefit of PCE'!AQ4/'Cost of Inequality'!AP6</f>
        <v>29.576666666666664</v>
      </c>
      <c r="AQ11" s="386">
        <f>'Benefit of PCE'!AR4/'Cost of Inequality'!AQ6</f>
        <v>111.26147375215145</v>
      </c>
      <c r="AR11" s="386">
        <f>'Benefit of PCE'!AS4/'Cost of Inequality'!AR6</f>
        <v>23.161105457909343</v>
      </c>
      <c r="AS11" s="386">
        <f>'Benefit of PCE'!AT4/'Cost of Inequality'!AS6</f>
        <v>150.15656854499579</v>
      </c>
      <c r="AT11" s="386">
        <f>'Benefit of PCE'!AU4/'Cost of Inequality'!AT6</f>
        <v>594.14955355271422</v>
      </c>
      <c r="AU11" s="386">
        <f>'Benefit of PCE'!AV4/'Cost of Inequality'!AU6</f>
        <v>71.44724405742528</v>
      </c>
      <c r="AV11" s="386">
        <f>'Benefit of PCE'!AW4/'Cost of Inequality'!AV6</f>
        <v>19.558356545961001</v>
      </c>
      <c r="AW11" s="386">
        <f>'Benefit of PCE'!AX4/'Cost of Inequality'!AW6</f>
        <v>228.23040371329878</v>
      </c>
      <c r="AX11" s="386">
        <f>'Benefit of PCE'!AY4/'Cost of Inequality'!AX6</f>
        <v>211.66170824904469</v>
      </c>
      <c r="AY11" s="386">
        <f>'Benefit of PCE'!AZ4/'Cost of Inequality'!AY6</f>
        <v>43.651101461554752</v>
      </c>
      <c r="AZ11" s="386">
        <f>'Benefit of PCE'!BA4/'Cost of Inequality'!AZ6</f>
        <v>153.49108695652174</v>
      </c>
      <c r="BA11" s="386">
        <f>'Benefit of PCE'!BB4/'Cost of Inequality'!BA6</f>
        <v>17.205219308992891</v>
      </c>
    </row>
    <row r="12" spans="1:55" x14ac:dyDescent="0.2">
      <c r="A12" s="1"/>
      <c r="B12" s="1"/>
      <c r="C12" s="15"/>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5" x14ac:dyDescent="0.2">
      <c r="B13" s="59" t="s">
        <v>579</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5" x14ac:dyDescent="0.2">
      <c r="A14">
        <v>1</v>
      </c>
      <c r="B14" s="1" t="s">
        <v>749</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5" x14ac:dyDescent="0.2">
      <c r="A15" s="1">
        <v>2</v>
      </c>
      <c r="B15" s="125" t="s">
        <v>751</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5" x14ac:dyDescent="0.2">
      <c r="A16" s="1">
        <v>3</v>
      </c>
      <c r="B16" s="7" t="s">
        <v>750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x14ac:dyDescent="0.2">
      <c r="A17" s="7">
        <v>4</v>
      </c>
      <c r="B17" s="7" t="s">
        <v>948</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x14ac:dyDescent="0.2">
      <c r="A18" s="7">
        <v>5</v>
      </c>
      <c r="B18" s="7" t="s">
        <v>1</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x14ac:dyDescent="0.2">
      <c r="A20" s="1"/>
      <c r="B20" s="402" t="s">
        <v>950</v>
      </c>
      <c r="C20" s="404" t="s">
        <v>949</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row r="24" spans="1:53"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3"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row>
    <row r="26" spans="1:53"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3"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row>
  </sheetData>
  <phoneticPr fontId="103" type="noConversion"/>
  <dataValidations count="1">
    <dataValidation type="list" allowBlank="1" showInputMessage="1" showErrorMessage="1" sqref="C20">
      <formula1>"Original, Gini 1999, Optimum"</formula1>
    </dataValidation>
  </dataValidations>
  <pageMargins left="0.75" right="0.75" top="1" bottom="1"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97"/>
  <sheetViews>
    <sheetView topLeftCell="B1" workbookViewId="0">
      <selection activeCell="C10" sqref="C10"/>
    </sheetView>
  </sheetViews>
  <sheetFormatPr baseColWidth="10" defaultColWidth="8.83203125" defaultRowHeight="16" x14ac:dyDescent="0.2"/>
  <cols>
    <col min="1" max="1" width="4.83203125" customWidth="1"/>
    <col min="2" max="2" width="61.5" bestFit="1" customWidth="1"/>
    <col min="3" max="3" width="15.83203125" bestFit="1" customWidth="1"/>
    <col min="4" max="4" width="26.6640625" customWidth="1"/>
    <col min="5" max="5" width="14" bestFit="1" customWidth="1"/>
    <col min="6" max="11" width="15" bestFit="1" customWidth="1"/>
    <col min="12" max="12" width="14.1640625" customWidth="1"/>
    <col min="13" max="13" width="14.6640625" customWidth="1"/>
    <col min="14" max="14" width="15.6640625" customWidth="1"/>
    <col min="15" max="15" width="14.1640625" customWidth="1"/>
    <col min="16" max="16" width="13.33203125" customWidth="1"/>
    <col min="17" max="17" width="15.1640625" customWidth="1"/>
    <col min="18" max="18" width="14.1640625" customWidth="1"/>
    <col min="19" max="20" width="13.1640625" customWidth="1"/>
    <col min="21" max="21" width="14.5" customWidth="1"/>
    <col min="22" max="22" width="12.83203125" customWidth="1"/>
    <col min="23" max="23" width="12.6640625" customWidth="1"/>
    <col min="24" max="24" width="14.1640625" customWidth="1"/>
    <col min="25" max="25" width="13.6640625" bestFit="1" customWidth="1"/>
    <col min="26" max="26" width="13.83203125" customWidth="1"/>
    <col min="27" max="27" width="14.6640625" customWidth="1"/>
    <col min="28" max="28" width="12.6640625" customWidth="1"/>
    <col min="29" max="29" width="13.1640625" customWidth="1"/>
    <col min="30" max="31" width="12.6640625" customWidth="1"/>
    <col min="32" max="32" width="13.1640625" customWidth="1"/>
    <col min="33" max="33" width="14.1640625" bestFit="1" customWidth="1"/>
    <col min="34" max="34" width="14.33203125" customWidth="1"/>
    <col min="35" max="35" width="14" customWidth="1"/>
    <col min="36" max="36" width="13.6640625" customWidth="1"/>
    <col min="37" max="37" width="14.83203125" customWidth="1"/>
    <col min="38" max="38" width="12.33203125" customWidth="1"/>
    <col min="39" max="39" width="13.6640625" customWidth="1"/>
    <col min="40" max="40" width="13.1640625" customWidth="1"/>
    <col min="41" max="41" width="13.5" customWidth="1"/>
    <col min="42" max="42" width="13.6640625" customWidth="1"/>
    <col min="43" max="43" width="13.5" customWidth="1"/>
    <col min="44" max="44" width="14.5" customWidth="1"/>
    <col min="45" max="45" width="13.5" customWidth="1"/>
    <col min="46" max="46" width="14.1640625" customWidth="1"/>
    <col min="47" max="47" width="13.6640625" customWidth="1"/>
    <col min="48" max="48" width="13.1640625" customWidth="1"/>
    <col min="49" max="49" width="13.6640625" customWidth="1"/>
    <col min="50" max="50" width="14.33203125" customWidth="1"/>
    <col min="51" max="51" width="15.1640625" customWidth="1"/>
    <col min="52" max="52" width="13.83203125" customWidth="1"/>
    <col min="53" max="53" width="14.83203125" customWidth="1"/>
    <col min="54" max="54" width="13" customWidth="1"/>
    <col min="55" max="55" width="9.6640625" bestFit="1" customWidth="1"/>
    <col min="56" max="56" width="8.83203125" style="29" bestFit="1"/>
    <col min="57" max="57" width="9" style="20" customWidth="1"/>
    <col min="59" max="59" width="10" bestFit="1" customWidth="1"/>
  </cols>
  <sheetData>
    <row r="1" spans="1:57" x14ac:dyDescent="0.2">
      <c r="B1" s="20">
        <v>2011</v>
      </c>
      <c r="C1" s="22"/>
      <c r="D1" s="220"/>
      <c r="E1" s="3">
        <v>1</v>
      </c>
      <c r="F1" s="3">
        <f>E1+1</f>
        <v>2</v>
      </c>
      <c r="G1" s="3">
        <f t="shared" ref="G1:L1" si="0">F1+1</f>
        <v>3</v>
      </c>
      <c r="H1" s="3">
        <f t="shared" si="0"/>
        <v>4</v>
      </c>
      <c r="I1" s="3">
        <f t="shared" si="0"/>
        <v>5</v>
      </c>
      <c r="J1" s="3">
        <f t="shared" si="0"/>
        <v>6</v>
      </c>
      <c r="K1" s="3">
        <f t="shared" si="0"/>
        <v>7</v>
      </c>
      <c r="L1" s="3">
        <f t="shared" si="0"/>
        <v>8</v>
      </c>
      <c r="M1" s="3">
        <f t="shared" ref="M1" si="1">L1+1</f>
        <v>9</v>
      </c>
      <c r="N1" s="3">
        <f t="shared" ref="N1" si="2">M1+1</f>
        <v>10</v>
      </c>
      <c r="O1" s="3">
        <f t="shared" ref="O1" si="3">N1+1</f>
        <v>11</v>
      </c>
      <c r="P1" s="3">
        <f t="shared" ref="P1" si="4">O1+1</f>
        <v>12</v>
      </c>
      <c r="Q1" s="3">
        <f t="shared" ref="Q1" si="5">P1+1</f>
        <v>13</v>
      </c>
      <c r="R1" s="3">
        <f t="shared" ref="R1" si="6">Q1+1</f>
        <v>14</v>
      </c>
      <c r="S1" s="3">
        <f t="shared" ref="S1" si="7">R1+1</f>
        <v>15</v>
      </c>
      <c r="T1" s="3">
        <f t="shared" ref="T1" si="8">S1+1</f>
        <v>16</v>
      </c>
      <c r="U1" s="3">
        <f t="shared" ref="U1" si="9">T1+1</f>
        <v>17</v>
      </c>
      <c r="V1" s="3">
        <f t="shared" ref="V1" si="10">U1+1</f>
        <v>18</v>
      </c>
      <c r="W1" s="3">
        <f t="shared" ref="W1" si="11">V1+1</f>
        <v>19</v>
      </c>
      <c r="X1" s="3">
        <f t="shared" ref="X1" si="12">W1+1</f>
        <v>20</v>
      </c>
      <c r="Y1" s="3">
        <f t="shared" ref="Y1" si="13">X1+1</f>
        <v>21</v>
      </c>
      <c r="Z1" s="3">
        <f t="shared" ref="Z1" si="14">Y1+1</f>
        <v>22</v>
      </c>
      <c r="AA1" s="3">
        <f t="shared" ref="AA1" si="15">Z1+1</f>
        <v>23</v>
      </c>
      <c r="AB1" s="3">
        <f t="shared" ref="AB1" si="16">AA1+1</f>
        <v>24</v>
      </c>
      <c r="AC1" s="3">
        <f t="shared" ref="AC1" si="17">AB1+1</f>
        <v>25</v>
      </c>
      <c r="AD1" s="3">
        <f t="shared" ref="AD1" si="18">AC1+1</f>
        <v>26</v>
      </c>
      <c r="AE1" s="3">
        <f t="shared" ref="AE1" si="19">AD1+1</f>
        <v>27</v>
      </c>
      <c r="AF1" s="3">
        <f t="shared" ref="AF1" si="20">AE1+1</f>
        <v>28</v>
      </c>
      <c r="AG1" s="3">
        <f t="shared" ref="AG1" si="21">AF1+1</f>
        <v>29</v>
      </c>
      <c r="AH1" s="3">
        <f t="shared" ref="AH1" si="22">AG1+1</f>
        <v>30</v>
      </c>
      <c r="AI1" s="3">
        <f t="shared" ref="AI1" si="23">AH1+1</f>
        <v>31</v>
      </c>
      <c r="AJ1" s="3">
        <f t="shared" ref="AJ1" si="24">AI1+1</f>
        <v>32</v>
      </c>
      <c r="AK1" s="3">
        <f t="shared" ref="AK1" si="25">AJ1+1</f>
        <v>33</v>
      </c>
      <c r="AL1" s="3">
        <f t="shared" ref="AL1" si="26">AK1+1</f>
        <v>34</v>
      </c>
      <c r="AM1" s="3">
        <f t="shared" ref="AM1" si="27">AL1+1</f>
        <v>35</v>
      </c>
      <c r="AN1" s="3">
        <f t="shared" ref="AN1" si="28">AM1+1</f>
        <v>36</v>
      </c>
      <c r="AO1" s="3">
        <f t="shared" ref="AO1" si="29">AN1+1</f>
        <v>37</v>
      </c>
      <c r="AP1" s="3">
        <f t="shared" ref="AP1" si="30">AO1+1</f>
        <v>38</v>
      </c>
      <c r="AQ1" s="3">
        <f t="shared" ref="AQ1" si="31">AP1+1</f>
        <v>39</v>
      </c>
      <c r="AR1" s="3">
        <f t="shared" ref="AR1" si="32">AQ1+1</f>
        <v>40</v>
      </c>
      <c r="AS1" s="3">
        <f t="shared" ref="AS1" si="33">AR1+1</f>
        <v>41</v>
      </c>
      <c r="AT1" s="3">
        <f t="shared" ref="AT1" si="34">AS1+1</f>
        <v>42</v>
      </c>
      <c r="AU1" s="3">
        <f t="shared" ref="AU1" si="35">AT1+1</f>
        <v>43</v>
      </c>
      <c r="AV1" s="3">
        <f t="shared" ref="AV1" si="36">AU1+1</f>
        <v>44</v>
      </c>
      <c r="AW1" s="3">
        <f t="shared" ref="AW1" si="37">AV1+1</f>
        <v>45</v>
      </c>
      <c r="AX1" s="3">
        <f t="shared" ref="AX1" si="38">AW1+1</f>
        <v>46</v>
      </c>
      <c r="AY1" s="3">
        <f t="shared" ref="AY1" si="39">AX1+1</f>
        <v>47</v>
      </c>
      <c r="AZ1" s="3">
        <f t="shared" ref="AZ1" si="40">AY1+1</f>
        <v>48</v>
      </c>
      <c r="BA1" s="3">
        <f t="shared" ref="BA1" si="41">AZ1+1</f>
        <v>49</v>
      </c>
      <c r="BB1" s="3">
        <f t="shared" ref="BB1" si="42">BA1+1</f>
        <v>50</v>
      </c>
      <c r="BC1" s="3"/>
      <c r="BD1" s="19"/>
    </row>
    <row r="2" spans="1:57" s="27" customFormat="1" x14ac:dyDescent="0.2">
      <c r="A2" s="23"/>
      <c r="B2" s="21"/>
      <c r="C2" s="23"/>
      <c r="D2" s="226" t="s">
        <v>95</v>
      </c>
      <c r="E2" s="25" t="s">
        <v>144</v>
      </c>
      <c r="F2" s="25" t="s">
        <v>145</v>
      </c>
      <c r="G2" s="25" t="s">
        <v>146</v>
      </c>
      <c r="H2" s="25" t="s">
        <v>147</v>
      </c>
      <c r="I2" s="25" t="s">
        <v>148</v>
      </c>
      <c r="J2" s="25" t="s">
        <v>149</v>
      </c>
      <c r="K2" s="25" t="s">
        <v>150</v>
      </c>
      <c r="L2" s="25" t="s">
        <v>151</v>
      </c>
      <c r="M2" s="25" t="s">
        <v>152</v>
      </c>
      <c r="N2" s="25" t="s">
        <v>153</v>
      </c>
      <c r="O2" s="25" t="s">
        <v>154</v>
      </c>
      <c r="P2" s="25" t="s">
        <v>155</v>
      </c>
      <c r="Q2" s="25" t="s">
        <v>156</v>
      </c>
      <c r="R2" s="25" t="s">
        <v>2</v>
      </c>
      <c r="S2" s="25" t="s">
        <v>3</v>
      </c>
      <c r="T2" s="25" t="s">
        <v>4</v>
      </c>
      <c r="U2" s="25" t="s">
        <v>5</v>
      </c>
      <c r="V2" s="25" t="s">
        <v>6</v>
      </c>
      <c r="W2" s="25" t="s">
        <v>7</v>
      </c>
      <c r="X2" s="25" t="s">
        <v>8</v>
      </c>
      <c r="Y2" s="25" t="s">
        <v>9</v>
      </c>
      <c r="Z2" s="25" t="s">
        <v>10</v>
      </c>
      <c r="AA2" s="25" t="s">
        <v>11</v>
      </c>
      <c r="AB2" s="25" t="s">
        <v>12</v>
      </c>
      <c r="AC2" s="25" t="s">
        <v>13</v>
      </c>
      <c r="AD2" s="25" t="s">
        <v>14</v>
      </c>
      <c r="AE2" s="25" t="s">
        <v>15</v>
      </c>
      <c r="AF2" s="25" t="s">
        <v>16</v>
      </c>
      <c r="AG2" s="25" t="s">
        <v>17</v>
      </c>
      <c r="AH2" s="25" t="s">
        <v>18</v>
      </c>
      <c r="AI2" s="25" t="s">
        <v>19</v>
      </c>
      <c r="AJ2" s="25" t="s">
        <v>20</v>
      </c>
      <c r="AK2" s="25" t="s">
        <v>21</v>
      </c>
      <c r="AL2" s="25" t="s">
        <v>22</v>
      </c>
      <c r="AM2" s="25" t="s">
        <v>23</v>
      </c>
      <c r="AN2" s="25" t="s">
        <v>24</v>
      </c>
      <c r="AO2" s="25" t="s">
        <v>25</v>
      </c>
      <c r="AP2" s="25" t="s">
        <v>26</v>
      </c>
      <c r="AQ2" s="25" t="s">
        <v>27</v>
      </c>
      <c r="AR2" s="25" t="s">
        <v>28</v>
      </c>
      <c r="AS2" s="25" t="s">
        <v>29</v>
      </c>
      <c r="AT2" s="25" t="s">
        <v>30</v>
      </c>
      <c r="AU2" s="25" t="s">
        <v>31</v>
      </c>
      <c r="AV2" s="25" t="s">
        <v>32</v>
      </c>
      <c r="AW2" s="25" t="s">
        <v>33</v>
      </c>
      <c r="AX2" s="25" t="s">
        <v>34</v>
      </c>
      <c r="AY2" s="25" t="s">
        <v>35</v>
      </c>
      <c r="AZ2" s="25" t="s">
        <v>36</v>
      </c>
      <c r="BA2" s="25" t="s">
        <v>37</v>
      </c>
      <c r="BB2" s="25" t="s">
        <v>38</v>
      </c>
      <c r="BC2" s="26"/>
      <c r="BD2" s="19"/>
      <c r="BE2" s="20"/>
    </row>
    <row r="3" spans="1:57" s="27" customFormat="1" x14ac:dyDescent="0.2">
      <c r="A3" s="26"/>
      <c r="B3" s="26"/>
      <c r="C3" s="26"/>
      <c r="D3" s="226" t="s">
        <v>96</v>
      </c>
      <c r="E3" s="26" t="s">
        <v>39</v>
      </c>
      <c r="F3" s="26" t="s">
        <v>40</v>
      </c>
      <c r="G3" s="26" t="s">
        <v>41</v>
      </c>
      <c r="H3" s="26" t="s">
        <v>42</v>
      </c>
      <c r="I3" s="26" t="s">
        <v>43</v>
      </c>
      <c r="J3" s="26" t="s">
        <v>44</v>
      </c>
      <c r="K3" s="26" t="s">
        <v>45</v>
      </c>
      <c r="L3" s="26" t="s">
        <v>46</v>
      </c>
      <c r="M3" s="26" t="s">
        <v>47</v>
      </c>
      <c r="N3" s="26" t="s">
        <v>48</v>
      </c>
      <c r="O3" s="26" t="s">
        <v>49</v>
      </c>
      <c r="P3" s="26" t="s">
        <v>50</v>
      </c>
      <c r="Q3" s="26" t="s">
        <v>51</v>
      </c>
      <c r="R3" s="26" t="s">
        <v>52</v>
      </c>
      <c r="S3" s="26" t="s">
        <v>53</v>
      </c>
      <c r="T3" s="26" t="s">
        <v>54</v>
      </c>
      <c r="U3" s="26" t="s">
        <v>55</v>
      </c>
      <c r="V3" s="26" t="s">
        <v>56</v>
      </c>
      <c r="W3" s="26" t="s">
        <v>57</v>
      </c>
      <c r="X3" s="26" t="s">
        <v>58</v>
      </c>
      <c r="Y3" s="26" t="s">
        <v>59</v>
      </c>
      <c r="Z3" s="26" t="s">
        <v>60</v>
      </c>
      <c r="AA3" s="26" t="s">
        <v>61</v>
      </c>
      <c r="AB3" s="26" t="s">
        <v>62</v>
      </c>
      <c r="AC3" s="26" t="s">
        <v>63</v>
      </c>
      <c r="AD3" s="26" t="s">
        <v>64</v>
      </c>
      <c r="AE3" s="26" t="s">
        <v>65</v>
      </c>
      <c r="AF3" s="26" t="s">
        <v>66</v>
      </c>
      <c r="AG3" s="26" t="s">
        <v>67</v>
      </c>
      <c r="AH3" s="26" t="s">
        <v>68</v>
      </c>
      <c r="AI3" s="26" t="s">
        <v>69</v>
      </c>
      <c r="AJ3" s="26" t="s">
        <v>70</v>
      </c>
      <c r="AK3" s="26" t="s">
        <v>71</v>
      </c>
      <c r="AL3" s="26" t="s">
        <v>72</v>
      </c>
      <c r="AM3" s="26" t="s">
        <v>73</v>
      </c>
      <c r="AN3" s="26" t="s">
        <v>74</v>
      </c>
      <c r="AO3" s="26" t="s">
        <v>75</v>
      </c>
      <c r="AP3" s="26" t="s">
        <v>76</v>
      </c>
      <c r="AQ3" s="26" t="s">
        <v>77</v>
      </c>
      <c r="AR3" s="26" t="s">
        <v>78</v>
      </c>
      <c r="AS3" s="26" t="s">
        <v>79</v>
      </c>
      <c r="AT3" s="26" t="s">
        <v>80</v>
      </c>
      <c r="AU3" s="26" t="s">
        <v>81</v>
      </c>
      <c r="AV3" s="26" t="s">
        <v>82</v>
      </c>
      <c r="AW3" s="26" t="s">
        <v>83</v>
      </c>
      <c r="AX3" s="26" t="s">
        <v>84</v>
      </c>
      <c r="AY3" s="26" t="s">
        <v>85</v>
      </c>
      <c r="AZ3" s="26" t="s">
        <v>86</v>
      </c>
      <c r="BA3" s="26" t="s">
        <v>87</v>
      </c>
      <c r="BB3" s="26" t="s">
        <v>88</v>
      </c>
      <c r="BC3" s="26"/>
      <c r="BD3" s="19"/>
      <c r="BE3" s="20"/>
    </row>
    <row r="4" spans="1:57" s="28" customFormat="1" x14ac:dyDescent="0.2">
      <c r="A4" s="28">
        <v>1</v>
      </c>
      <c r="B4" s="230" t="s">
        <v>953</v>
      </c>
      <c r="D4" s="231">
        <f>SUM(E4:BB4)</f>
        <v>1939.946471925291</v>
      </c>
      <c r="E4" s="232">
        <f t="shared" ref="E4:AI4" si="43">E5*IF(CDBenefitCase="Original",$D$6,IF(CDBenefitCase="Sensitivity 1",$E$6,IF(CDBenefitCase="Sensitivity 2",$F$6)))</f>
        <v>25.281958524664525</v>
      </c>
      <c r="F4" s="232">
        <f t="shared" si="43"/>
        <v>4.6799243572147118</v>
      </c>
      <c r="G4" s="232">
        <f t="shared" si="43"/>
        <v>34.157086452062195</v>
      </c>
      <c r="H4" s="232">
        <f t="shared" si="43"/>
        <v>14.509780708435358</v>
      </c>
      <c r="I4" s="232">
        <f t="shared" si="43"/>
        <v>250.7235318625319</v>
      </c>
      <c r="J4" s="232">
        <f t="shared" si="43"/>
        <v>32.529202090159899</v>
      </c>
      <c r="K4" s="232">
        <f t="shared" si="43"/>
        <v>31.606874203611746</v>
      </c>
      <c r="L4" s="232">
        <f t="shared" si="43"/>
        <v>5.9181738939751591</v>
      </c>
      <c r="M4" s="232">
        <f t="shared" si="43"/>
        <v>116.47336059234213</v>
      </c>
      <c r="N4" s="232">
        <f t="shared" si="43"/>
        <v>53.84707728531319</v>
      </c>
      <c r="O4" s="232">
        <f t="shared" si="43"/>
        <v>8.471866604644271</v>
      </c>
      <c r="P4" s="232">
        <f t="shared" si="43"/>
        <v>7.8074718938124708</v>
      </c>
      <c r="Q4" s="232">
        <f t="shared" si="43"/>
        <v>86.581481339819547</v>
      </c>
      <c r="R4" s="232">
        <f t="shared" si="43"/>
        <v>35.761464793781435</v>
      </c>
      <c r="S4" s="232">
        <f t="shared" si="43"/>
        <v>18.153107814917202</v>
      </c>
      <c r="T4" s="232">
        <f t="shared" si="43"/>
        <v>17.144136363399074</v>
      </c>
      <c r="U4" s="232">
        <f t="shared" si="43"/>
        <v>22.440354472155903</v>
      </c>
      <c r="V4" s="232">
        <f t="shared" si="43"/>
        <v>25.373863720741159</v>
      </c>
      <c r="W4" s="232">
        <f t="shared" si="43"/>
        <v>7.8838924399668491</v>
      </c>
      <c r="X4" s="232">
        <f t="shared" si="43"/>
        <v>45.032559113139854</v>
      </c>
      <c r="Y4" s="232">
        <f t="shared" si="43"/>
        <v>53.132320408265052</v>
      </c>
      <c r="Z4" s="232">
        <f t="shared" si="43"/>
        <v>58.154743247227934</v>
      </c>
      <c r="AA4" s="232">
        <f t="shared" si="43"/>
        <v>35.363502271060099</v>
      </c>
      <c r="AB4" s="232">
        <f t="shared" si="43"/>
        <v>14.251317905200981</v>
      </c>
      <c r="AC4" s="232">
        <f t="shared" si="43"/>
        <v>34.591755751036793</v>
      </c>
      <c r="AD4" s="232">
        <f t="shared" si="43"/>
        <v>5.1365378250581619</v>
      </c>
      <c r="AE4" s="232">
        <f t="shared" si="43"/>
        <v>11.26066498872432</v>
      </c>
      <c r="AF4" s="232">
        <f t="shared" si="43"/>
        <v>16.294339286168565</v>
      </c>
      <c r="AG4" s="232">
        <f t="shared" si="43"/>
        <v>9.4038647465824958</v>
      </c>
      <c r="AH4" s="232">
        <f t="shared" si="43"/>
        <v>71.855637902544132</v>
      </c>
      <c r="AI4" s="232">
        <f t="shared" si="43"/>
        <v>10.275537627122871</v>
      </c>
      <c r="AJ4" s="232">
        <f t="shared" ref="AJ4:BB4" si="44">AJ5*IF(CDBenefitCase="Original",$D$6,IF(CDBenefitCase="Sensitivity 1",$E$6,IF(CDBenefitCase="Sensitivity 2",$F$6)))</f>
        <v>148.56444208121044</v>
      </c>
      <c r="AK4" s="232">
        <f t="shared" si="44"/>
        <v>52.10763418243868</v>
      </c>
      <c r="AL4" s="232">
        <f t="shared" si="44"/>
        <v>3.9454683861529234</v>
      </c>
      <c r="AM4" s="232">
        <f t="shared" si="44"/>
        <v>67.530034390607497</v>
      </c>
      <c r="AN4" s="232">
        <f t="shared" si="44"/>
        <v>20.702645714751981</v>
      </c>
      <c r="AO4" s="232">
        <f t="shared" si="44"/>
        <v>21.529182473051151</v>
      </c>
      <c r="AP4" s="232">
        <f t="shared" si="44"/>
        <v>83.033446169629769</v>
      </c>
      <c r="AQ4" s="232">
        <f t="shared" si="44"/>
        <v>7.1899612711617698</v>
      </c>
      <c r="AR4" s="232">
        <f t="shared" si="44"/>
        <v>23.421088703658608</v>
      </c>
      <c r="AS4" s="232">
        <f t="shared" si="44"/>
        <v>4.8560987107663598</v>
      </c>
      <c r="AT4" s="232">
        <f t="shared" si="44"/>
        <v>35.064992915453665</v>
      </c>
      <c r="AU4" s="232">
        <f t="shared" si="44"/>
        <v>143.3390170900112</v>
      </c>
      <c r="AV4" s="232">
        <f t="shared" si="44"/>
        <v>13.518520422240631</v>
      </c>
      <c r="AW4" s="232">
        <f t="shared" si="44"/>
        <v>3.9903692733973473</v>
      </c>
      <c r="AX4" s="232">
        <f t="shared" si="44"/>
        <v>55.597189122786418</v>
      </c>
      <c r="AY4" s="232">
        <f t="shared" si="44"/>
        <v>43.885889539341136</v>
      </c>
      <c r="AZ4" s="232">
        <f t="shared" si="44"/>
        <v>9.0341838018726488</v>
      </c>
      <c r="BA4" s="232">
        <f t="shared" si="44"/>
        <v>34.744665802929873</v>
      </c>
      <c r="BB4" s="232">
        <f t="shared" si="44"/>
        <v>3.7942513881490307</v>
      </c>
      <c r="BD4" s="29"/>
      <c r="BE4" s="20"/>
    </row>
    <row r="5" spans="1:57" x14ac:dyDescent="0.2">
      <c r="A5">
        <v>2</v>
      </c>
      <c r="B5" s="59" t="s">
        <v>133</v>
      </c>
      <c r="C5" s="59"/>
      <c r="D5" s="229"/>
      <c r="E5" s="229">
        <f>SUM(E63:E70)</f>
        <v>126.40979262332262</v>
      </c>
      <c r="F5" s="229">
        <f>SUM(F63:F70)</f>
        <v>23.39962178607356</v>
      </c>
      <c r="G5" s="229">
        <f t="shared" ref="G5:BB5" si="45">SUM(G63:G70)</f>
        <v>170.78543226031096</v>
      </c>
      <c r="H5" s="229">
        <f t="shared" si="45"/>
        <v>72.548903542176788</v>
      </c>
      <c r="I5" s="229">
        <f t="shared" si="45"/>
        <v>1253.6176593126595</v>
      </c>
      <c r="J5" s="229">
        <f t="shared" si="45"/>
        <v>162.64601045079948</v>
      </c>
      <c r="K5" s="229">
        <f t="shared" si="45"/>
        <v>158.03437101805872</v>
      </c>
      <c r="L5" s="229">
        <f t="shared" si="45"/>
        <v>29.590869469875795</v>
      </c>
      <c r="M5" s="229">
        <f t="shared" si="45"/>
        <v>582.36680296171062</v>
      </c>
      <c r="N5" s="229">
        <f t="shared" si="45"/>
        <v>269.23538642656592</v>
      </c>
      <c r="O5" s="229">
        <f t="shared" si="45"/>
        <v>42.359333023221353</v>
      </c>
      <c r="P5" s="229">
        <f t="shared" si="45"/>
        <v>39.037359469062352</v>
      </c>
      <c r="Q5" s="229">
        <f t="shared" si="45"/>
        <v>432.90740669909769</v>
      </c>
      <c r="R5" s="229">
        <f t="shared" si="45"/>
        <v>178.80732396890716</v>
      </c>
      <c r="S5" s="229">
        <f t="shared" si="45"/>
        <v>90.765539074586002</v>
      </c>
      <c r="T5" s="229">
        <f t="shared" si="45"/>
        <v>85.720681816995366</v>
      </c>
      <c r="U5" s="229">
        <f t="shared" si="45"/>
        <v>112.2017723607795</v>
      </c>
      <c r="V5" s="229">
        <f t="shared" si="45"/>
        <v>126.86931860370579</v>
      </c>
      <c r="W5" s="229">
        <f t="shared" si="45"/>
        <v>39.419462199834243</v>
      </c>
      <c r="X5" s="229">
        <f t="shared" si="45"/>
        <v>225.16279556569924</v>
      </c>
      <c r="Y5" s="229">
        <f t="shared" si="45"/>
        <v>265.66160204132524</v>
      </c>
      <c r="Z5" s="229">
        <f t="shared" si="45"/>
        <v>290.77371623613965</v>
      </c>
      <c r="AA5" s="229">
        <f t="shared" si="45"/>
        <v>176.8175113553005</v>
      </c>
      <c r="AB5" s="229">
        <f t="shared" si="45"/>
        <v>71.256589526004902</v>
      </c>
      <c r="AC5" s="229">
        <f t="shared" si="45"/>
        <v>172.95877875518394</v>
      </c>
      <c r="AD5" s="229">
        <f t="shared" si="45"/>
        <v>25.682689125290807</v>
      </c>
      <c r="AE5" s="229">
        <f t="shared" si="45"/>
        <v>56.303324943621597</v>
      </c>
      <c r="AF5" s="229">
        <f t="shared" si="45"/>
        <v>81.471696430842826</v>
      </c>
      <c r="AG5" s="229">
        <f t="shared" si="45"/>
        <v>47.019323732912476</v>
      </c>
      <c r="AH5" s="229">
        <f t="shared" si="45"/>
        <v>359.27818951272064</v>
      </c>
      <c r="AI5" s="229">
        <f t="shared" si="45"/>
        <v>51.377688135614349</v>
      </c>
      <c r="AJ5" s="229">
        <f t="shared" si="45"/>
        <v>742.82221040605214</v>
      </c>
      <c r="AK5" s="229">
        <f t="shared" si="45"/>
        <v>260.53817091219338</v>
      </c>
      <c r="AL5" s="229">
        <f t="shared" si="45"/>
        <v>19.727341930764617</v>
      </c>
      <c r="AM5" s="229">
        <f t="shared" si="45"/>
        <v>337.65017195303744</v>
      </c>
      <c r="AN5" s="229">
        <f t="shared" si="45"/>
        <v>103.5132285737599</v>
      </c>
      <c r="AO5" s="229">
        <f t="shared" si="45"/>
        <v>107.64591236525574</v>
      </c>
      <c r="AP5" s="229">
        <f t="shared" si="45"/>
        <v>415.16723084814879</v>
      </c>
      <c r="AQ5" s="229">
        <f t="shared" si="45"/>
        <v>35.949806355808846</v>
      </c>
      <c r="AR5" s="229">
        <f t="shared" si="45"/>
        <v>117.10544351829303</v>
      </c>
      <c r="AS5" s="229">
        <f t="shared" si="45"/>
        <v>24.280493553831796</v>
      </c>
      <c r="AT5" s="229">
        <f t="shared" si="45"/>
        <v>175.3249645772683</v>
      </c>
      <c r="AU5" s="229">
        <f t="shared" si="45"/>
        <v>716.69508545005601</v>
      </c>
      <c r="AV5" s="229">
        <f t="shared" si="45"/>
        <v>67.592602111203149</v>
      </c>
      <c r="AW5" s="229">
        <f t="shared" si="45"/>
        <v>19.951846366986736</v>
      </c>
      <c r="AX5" s="229">
        <f t="shared" si="45"/>
        <v>277.98594561393207</v>
      </c>
      <c r="AY5" s="229">
        <f t="shared" si="45"/>
        <v>219.42944769670567</v>
      </c>
      <c r="AZ5" s="229">
        <f t="shared" si="45"/>
        <v>45.170919009363239</v>
      </c>
      <c r="BA5" s="229">
        <f t="shared" si="45"/>
        <v>173.72332901464935</v>
      </c>
      <c r="BB5" s="229">
        <f t="shared" si="45"/>
        <v>18.971256940745153</v>
      </c>
    </row>
    <row r="6" spans="1:57" x14ac:dyDescent="0.2">
      <c r="A6">
        <v>3</v>
      </c>
      <c r="B6" s="59" t="s">
        <v>134</v>
      </c>
      <c r="D6" s="234">
        <f>D7+D8</f>
        <v>0.2</v>
      </c>
      <c r="E6" s="409">
        <f>SUM(E8+E7)</f>
        <v>9.1666666666666674E-2</v>
      </c>
      <c r="F6" s="409">
        <f>SUM(F8+F7)</f>
        <v>0.31666666666666665</v>
      </c>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row>
    <row r="7" spans="1:57" x14ac:dyDescent="0.2">
      <c r="A7">
        <v>4</v>
      </c>
      <c r="B7" s="227" t="s">
        <v>135</v>
      </c>
      <c r="D7" s="233">
        <v>7.4999999999999997E-2</v>
      </c>
      <c r="E7" s="410">
        <v>2.5000000000000001E-2</v>
      </c>
      <c r="F7" s="410">
        <v>0.15</v>
      </c>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row>
    <row r="8" spans="1:57" x14ac:dyDescent="0.2">
      <c r="A8">
        <v>5</v>
      </c>
      <c r="B8" s="227" t="s">
        <v>136</v>
      </c>
      <c r="D8" s="233">
        <v>0.125</v>
      </c>
      <c r="E8" s="410">
        <f>1/15</f>
        <v>6.6666666666666666E-2</v>
      </c>
      <c r="F8" s="410">
        <f>1/6</f>
        <v>0.16666666666666666</v>
      </c>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row>
    <row r="9" spans="1:57" x14ac:dyDescent="0.2">
      <c r="D9" s="408" t="s">
        <v>949</v>
      </c>
      <c r="E9" s="411" t="s">
        <v>951</v>
      </c>
      <c r="F9" s="411" t="s">
        <v>952</v>
      </c>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row>
    <row r="10" spans="1:57" x14ac:dyDescent="0.2">
      <c r="B10" s="412" t="s">
        <v>950</v>
      </c>
      <c r="C10" s="404" t="s">
        <v>949</v>
      </c>
      <c r="D10" s="408"/>
      <c r="E10" s="411"/>
      <c r="F10" s="411"/>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row>
    <row r="11" spans="1:57" x14ac:dyDescent="0.2">
      <c r="D11" s="408"/>
      <c r="E11" s="411"/>
      <c r="F11" s="411"/>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row>
    <row r="12" spans="1:57" x14ac:dyDescent="0.2">
      <c r="D12" s="408"/>
      <c r="E12" s="411"/>
      <c r="F12" s="411"/>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row>
    <row r="13" spans="1:57" x14ac:dyDescent="0.2">
      <c r="B13" s="59" t="s">
        <v>579</v>
      </c>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row>
    <row r="14" spans="1:57" x14ac:dyDescent="0.2">
      <c r="A14">
        <v>1</v>
      </c>
      <c r="B14" t="s">
        <v>582</v>
      </c>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row>
    <row r="15" spans="1:57" x14ac:dyDescent="0.2">
      <c r="A15">
        <v>2</v>
      </c>
      <c r="B15" t="s">
        <v>761</v>
      </c>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row>
    <row r="16" spans="1:57" x14ac:dyDescent="0.2">
      <c r="A16">
        <v>3</v>
      </c>
      <c r="B16" s="20" t="s">
        <v>762</v>
      </c>
    </row>
    <row r="17" spans="1:57" x14ac:dyDescent="0.2">
      <c r="A17">
        <v>4</v>
      </c>
      <c r="B17" s="20" t="s">
        <v>763</v>
      </c>
    </row>
    <row r="18" spans="1:57" x14ac:dyDescent="0.2">
      <c r="A18">
        <v>5</v>
      </c>
      <c r="B18" s="20" t="s">
        <v>764</v>
      </c>
    </row>
    <row r="21" spans="1:57" x14ac:dyDescent="0.2">
      <c r="A21" s="30"/>
      <c r="B21" s="30"/>
      <c r="C21" s="31">
        <v>2002</v>
      </c>
      <c r="D21" s="31">
        <v>2003</v>
      </c>
      <c r="E21" s="31">
        <v>2004</v>
      </c>
      <c r="F21" s="31">
        <v>2005</v>
      </c>
      <c r="G21" s="31">
        <v>2006</v>
      </c>
      <c r="H21" s="31">
        <v>2007</v>
      </c>
      <c r="I21" s="31">
        <v>2008</v>
      </c>
      <c r="J21" s="31">
        <v>2009</v>
      </c>
      <c r="K21" s="31">
        <v>2010</v>
      </c>
      <c r="L21" s="31">
        <v>2011</v>
      </c>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3"/>
      <c r="BE21" s="34"/>
    </row>
    <row r="22" spans="1:57" x14ac:dyDescent="0.2">
      <c r="A22" s="10">
        <v>1</v>
      </c>
      <c r="B22" s="235" t="s">
        <v>137</v>
      </c>
      <c r="C22" s="236">
        <v>985.4</v>
      </c>
      <c r="D22" s="236">
        <v>1017.5</v>
      </c>
      <c r="E22" s="236">
        <v>1079.8</v>
      </c>
      <c r="F22" s="236">
        <v>1127.2</v>
      </c>
      <c r="G22" s="236">
        <v>1156.0999999999999</v>
      </c>
      <c r="H22" s="236">
        <v>1184.5999999999999</v>
      </c>
      <c r="I22" s="236">
        <v>1102.3</v>
      </c>
      <c r="J22" s="236">
        <v>1023.3</v>
      </c>
      <c r="K22" s="237">
        <v>1070.7</v>
      </c>
      <c r="L22" s="236">
        <v>1129.9000000000001</v>
      </c>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5" t="s">
        <v>138</v>
      </c>
      <c r="BE22" s="34"/>
    </row>
    <row r="23" spans="1:57" x14ac:dyDescent="0.2">
      <c r="A23" s="10">
        <v>2</v>
      </c>
      <c r="B23" s="235" t="s">
        <v>139</v>
      </c>
      <c r="C23" s="236">
        <v>9149.5</v>
      </c>
      <c r="D23" s="236">
        <v>9487.6</v>
      </c>
      <c r="E23" s="236">
        <v>10049.200000000001</v>
      </c>
      <c r="F23" s="236">
        <v>10610.3</v>
      </c>
      <c r="G23" s="236">
        <v>11389.8</v>
      </c>
      <c r="H23" s="236">
        <v>11995.7</v>
      </c>
      <c r="I23" s="236">
        <v>12430.6</v>
      </c>
      <c r="J23" s="236">
        <v>12082.1</v>
      </c>
      <c r="K23" s="236">
        <v>12435.2</v>
      </c>
      <c r="L23" s="236">
        <v>13191.3</v>
      </c>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5" t="s">
        <v>140</v>
      </c>
      <c r="BE23" s="34"/>
    </row>
    <row r="24" spans="1:57" x14ac:dyDescent="0.2">
      <c r="A24" s="10">
        <v>3</v>
      </c>
      <c r="B24" s="10" t="s">
        <v>141</v>
      </c>
      <c r="C24" s="238">
        <f t="shared" ref="C24:L24" si="46">C22/C23</f>
        <v>0.10769987431007158</v>
      </c>
      <c r="D24" s="238">
        <f t="shared" si="46"/>
        <v>0.10724524642691513</v>
      </c>
      <c r="E24" s="238">
        <f t="shared" si="46"/>
        <v>0.10745133941010228</v>
      </c>
      <c r="F24" s="238">
        <f t="shared" si="46"/>
        <v>0.10623639293893671</v>
      </c>
      <c r="G24" s="238">
        <f t="shared" si="46"/>
        <v>0.10150309926425398</v>
      </c>
      <c r="H24" s="238">
        <f t="shared" si="46"/>
        <v>9.8752052818926767E-2</v>
      </c>
      <c r="I24" s="238">
        <f t="shared" si="46"/>
        <v>8.867633098965455E-2</v>
      </c>
      <c r="J24" s="238">
        <f t="shared" si="46"/>
        <v>8.4695541338012423E-2</v>
      </c>
      <c r="K24" s="238">
        <f t="shared" si="46"/>
        <v>8.610235460627895E-2</v>
      </c>
      <c r="L24" s="238">
        <f t="shared" si="46"/>
        <v>8.5654939240256842E-2</v>
      </c>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3"/>
      <c r="BE24" s="34" t="s">
        <v>142</v>
      </c>
    </row>
    <row r="25" spans="1:57" x14ac:dyDescent="0.2">
      <c r="BD25"/>
      <c r="BE25"/>
    </row>
    <row r="26" spans="1:57" x14ac:dyDescent="0.2">
      <c r="A26" s="10"/>
      <c r="B26" s="36" t="s">
        <v>665</v>
      </c>
      <c r="C26" s="10"/>
      <c r="D26" s="10"/>
      <c r="E26" s="10"/>
      <c r="F26" s="10"/>
      <c r="G26" s="10"/>
      <c r="H26" s="10"/>
      <c r="I26" s="10"/>
      <c r="J26" s="10"/>
      <c r="K26" s="10"/>
      <c r="L26" s="10"/>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3"/>
      <c r="BE26" s="34"/>
    </row>
    <row r="27" spans="1:57" x14ac:dyDescent="0.2">
      <c r="A27" s="10">
        <v>4</v>
      </c>
      <c r="B27" s="10" t="s">
        <v>143</v>
      </c>
      <c r="C27" s="239">
        <v>174.9</v>
      </c>
      <c r="D27" s="239">
        <v>178.3</v>
      </c>
      <c r="E27" s="239">
        <v>182.6</v>
      </c>
      <c r="F27" s="239">
        <v>188.4</v>
      </c>
      <c r="G27" s="239">
        <v>193</v>
      </c>
      <c r="H27" s="239">
        <v>198.12299999999999</v>
      </c>
      <c r="I27" s="239">
        <v>205.38200000000001</v>
      </c>
      <c r="J27" s="239">
        <v>204.06399999999999</v>
      </c>
      <c r="K27" s="239">
        <v>208.04599999999999</v>
      </c>
      <c r="L27" s="239">
        <v>214.74299999999999</v>
      </c>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3" t="s">
        <v>157</v>
      </c>
      <c r="BE27" s="34"/>
    </row>
    <row r="28" spans="1:57" x14ac:dyDescent="0.2">
      <c r="A28" s="10">
        <v>5</v>
      </c>
      <c r="B28" s="10" t="s">
        <v>158</v>
      </c>
      <c r="C28" s="240">
        <f>C27/$L$27</f>
        <v>0.8144619382238304</v>
      </c>
      <c r="D28" s="240">
        <f t="shared" ref="D28:K28" si="47">D27/$L$27</f>
        <v>0.83029481752606615</v>
      </c>
      <c r="E28" s="240">
        <f t="shared" si="47"/>
        <v>0.8503187531141877</v>
      </c>
      <c r="F28" s="240">
        <f t="shared" si="47"/>
        <v>0.87732778251211918</v>
      </c>
      <c r="G28" s="240">
        <f t="shared" si="47"/>
        <v>0.8987487368622028</v>
      </c>
      <c r="H28" s="240">
        <f t="shared" si="47"/>
        <v>0.92260516058730668</v>
      </c>
      <c r="I28" s="240">
        <f t="shared" si="47"/>
        <v>0.95640835789757994</v>
      </c>
      <c r="J28" s="240">
        <f t="shared" si="47"/>
        <v>0.95027078880336024</v>
      </c>
      <c r="K28" s="240">
        <f t="shared" si="47"/>
        <v>0.96881388450380224</v>
      </c>
      <c r="L28" s="241">
        <v>1</v>
      </c>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3"/>
      <c r="BE28" s="37" t="s">
        <v>159</v>
      </c>
    </row>
    <row r="29" spans="1:57" x14ac:dyDescent="0.2">
      <c r="A29" s="10">
        <v>4</v>
      </c>
      <c r="B29" s="10" t="s">
        <v>160</v>
      </c>
      <c r="C29" s="239">
        <v>188.2</v>
      </c>
      <c r="D29" s="239">
        <v>193.5</v>
      </c>
      <c r="E29" s="239">
        <v>200.2</v>
      </c>
      <c r="F29" s="239">
        <v>207.5</v>
      </c>
      <c r="G29" s="239">
        <v>215</v>
      </c>
      <c r="H29" s="239">
        <v>220.512</v>
      </c>
      <c r="I29" s="239">
        <v>229.30600000000001</v>
      </c>
      <c r="J29" s="239">
        <v>229.34299999999999</v>
      </c>
      <c r="K29" s="239">
        <v>233.86799999999999</v>
      </c>
      <c r="L29" s="239">
        <v>240.99700000000001</v>
      </c>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3" t="s">
        <v>161</v>
      </c>
      <c r="BE29" s="37"/>
    </row>
    <row r="30" spans="1:57" x14ac:dyDescent="0.2">
      <c r="A30" s="10">
        <v>5</v>
      </c>
      <c r="B30" s="10" t="s">
        <v>162</v>
      </c>
      <c r="C30" s="240">
        <f t="shared" ref="C30:K30" si="48">C29/$L$29</f>
        <v>0.78092258409855719</v>
      </c>
      <c r="D30" s="240">
        <f t="shared" si="48"/>
        <v>0.8029145591023954</v>
      </c>
      <c r="E30" s="240">
        <f t="shared" si="48"/>
        <v>0.83071573505064367</v>
      </c>
      <c r="F30" s="240">
        <f t="shared" si="48"/>
        <v>0.86100656854649638</v>
      </c>
      <c r="G30" s="240">
        <f t="shared" si="48"/>
        <v>0.89212728789155049</v>
      </c>
      <c r="H30" s="240">
        <f t="shared" si="48"/>
        <v>0.91499894189554221</v>
      </c>
      <c r="I30" s="240">
        <f t="shared" si="48"/>
        <v>0.95148902268492963</v>
      </c>
      <c r="J30" s="240">
        <f t="shared" si="48"/>
        <v>0.95164255156703181</v>
      </c>
      <c r="K30" s="240">
        <f t="shared" si="48"/>
        <v>0.97041871890521447</v>
      </c>
      <c r="L30" s="241">
        <v>1</v>
      </c>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3"/>
      <c r="BE30" s="37" t="s">
        <v>159</v>
      </c>
    </row>
    <row r="31" spans="1:57" x14ac:dyDescent="0.2">
      <c r="A31" s="10">
        <v>4</v>
      </c>
      <c r="B31" s="10" t="s">
        <v>163</v>
      </c>
      <c r="C31" s="239">
        <v>173.3</v>
      </c>
      <c r="D31" s="239">
        <v>177.3</v>
      </c>
      <c r="E31" s="239">
        <v>181.8</v>
      </c>
      <c r="F31" s="239">
        <v>188.3</v>
      </c>
      <c r="G31" s="239">
        <v>194.7</v>
      </c>
      <c r="H31" s="239">
        <v>200.36099999999999</v>
      </c>
      <c r="I31" s="239">
        <v>208.68100000000001</v>
      </c>
      <c r="J31" s="239">
        <v>207.845</v>
      </c>
      <c r="K31" s="239">
        <v>211.33799999999999</v>
      </c>
      <c r="L31" s="239">
        <v>218.61799999999999</v>
      </c>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3" t="s">
        <v>164</v>
      </c>
      <c r="BE31" s="34"/>
    </row>
    <row r="32" spans="1:57" x14ac:dyDescent="0.2">
      <c r="A32" s="10">
        <v>5</v>
      </c>
      <c r="B32" s="10" t="s">
        <v>165</v>
      </c>
      <c r="C32" s="240">
        <f>C31/$L$31</f>
        <v>0.79270691342890343</v>
      </c>
      <c r="D32" s="240">
        <f t="shared" ref="D32:K32" si="49">D31/$L$31</f>
        <v>0.81100366849939165</v>
      </c>
      <c r="E32" s="240">
        <f t="shared" si="49"/>
        <v>0.83158751795369101</v>
      </c>
      <c r="F32" s="240">
        <f t="shared" si="49"/>
        <v>0.86131974494323438</v>
      </c>
      <c r="G32" s="240">
        <f t="shared" si="49"/>
        <v>0.89059455305601554</v>
      </c>
      <c r="H32" s="240">
        <f t="shared" si="49"/>
        <v>0.916489035669524</v>
      </c>
      <c r="I32" s="240">
        <f t="shared" si="49"/>
        <v>0.95454628621613968</v>
      </c>
      <c r="J32" s="240">
        <f t="shared" si="49"/>
        <v>0.9507222644064075</v>
      </c>
      <c r="K32" s="240">
        <f t="shared" si="49"/>
        <v>0.96669990577171139</v>
      </c>
      <c r="L32" s="241">
        <v>1</v>
      </c>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3"/>
      <c r="BE32" s="37" t="s">
        <v>159</v>
      </c>
    </row>
    <row r="33" spans="1:57" x14ac:dyDescent="0.2">
      <c r="A33" s="10">
        <v>4</v>
      </c>
      <c r="B33" s="10" t="s">
        <v>166</v>
      </c>
      <c r="C33" s="239">
        <v>184.7</v>
      </c>
      <c r="D33" s="239">
        <v>188.6</v>
      </c>
      <c r="E33" s="239">
        <v>193</v>
      </c>
      <c r="F33" s="239">
        <v>198.9</v>
      </c>
      <c r="G33" s="239">
        <v>205.7</v>
      </c>
      <c r="H33" s="239">
        <v>212.23</v>
      </c>
      <c r="I33" s="239">
        <v>219.64599999999999</v>
      </c>
      <c r="J33" s="239">
        <v>218.822</v>
      </c>
      <c r="K33" s="239">
        <v>221.203</v>
      </c>
      <c r="L33" s="239">
        <v>227.48500000000001</v>
      </c>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3" t="s">
        <v>167</v>
      </c>
      <c r="BE33" s="34"/>
    </row>
    <row r="34" spans="1:57" x14ac:dyDescent="0.2">
      <c r="A34" s="10">
        <v>5</v>
      </c>
      <c r="B34" s="10" t="s">
        <v>168</v>
      </c>
      <c r="C34" s="240">
        <f>C33/$L$33</f>
        <v>0.81192166516473607</v>
      </c>
      <c r="D34" s="240">
        <f t="shared" ref="D34:K34" si="50">D33/$L$33</f>
        <v>0.82906565268039645</v>
      </c>
      <c r="E34" s="240">
        <f t="shared" si="50"/>
        <v>0.84840758731344923</v>
      </c>
      <c r="F34" s="240">
        <f t="shared" si="50"/>
        <v>0.87434336329867901</v>
      </c>
      <c r="G34" s="240">
        <f t="shared" si="50"/>
        <v>0.90423544409521495</v>
      </c>
      <c r="H34" s="240">
        <f t="shared" si="50"/>
        <v>0.93294063344835909</v>
      </c>
      <c r="I34" s="240">
        <f t="shared" si="50"/>
        <v>0.96554058509352259</v>
      </c>
      <c r="J34" s="240">
        <f t="shared" si="50"/>
        <v>0.96191836824405996</v>
      </c>
      <c r="K34" s="240">
        <f t="shared" si="50"/>
        <v>0.97238499241708243</v>
      </c>
      <c r="L34" s="241">
        <v>1</v>
      </c>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3"/>
      <c r="BE34" s="37" t="s">
        <v>159</v>
      </c>
    </row>
    <row r="35" spans="1:57" x14ac:dyDescent="0.2">
      <c r="B35" s="10" t="s">
        <v>664</v>
      </c>
      <c r="C35" s="240"/>
      <c r="D35" s="240"/>
      <c r="E35" s="240"/>
      <c r="F35" s="240"/>
      <c r="G35" s="240"/>
      <c r="H35" s="240"/>
      <c r="I35" s="240"/>
      <c r="J35" s="240"/>
      <c r="K35" s="240"/>
      <c r="L35" s="241"/>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3"/>
      <c r="BE35" s="34"/>
    </row>
    <row r="36" spans="1:57" x14ac:dyDescent="0.2">
      <c r="A36" s="46">
        <v>2002</v>
      </c>
      <c r="B36" s="32">
        <v>1.25</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3"/>
      <c r="BE36" s="34"/>
    </row>
    <row r="37" spans="1:57" s="38" customFormat="1" x14ac:dyDescent="0.2">
      <c r="A37" s="46">
        <v>2003</v>
      </c>
      <c r="B37" s="40">
        <v>1.22</v>
      </c>
      <c r="C37" s="40">
        <v>6</v>
      </c>
      <c r="D37" s="41" t="s">
        <v>169</v>
      </c>
      <c r="E37" s="42" t="s">
        <v>170</v>
      </c>
      <c r="F37" s="39" t="s">
        <v>171</v>
      </c>
      <c r="G37" s="39" t="s">
        <v>172</v>
      </c>
      <c r="H37" s="39" t="s">
        <v>173</v>
      </c>
      <c r="I37" s="39" t="s">
        <v>174</v>
      </c>
      <c r="J37" s="39" t="s">
        <v>175</v>
      </c>
      <c r="K37" s="39" t="s">
        <v>176</v>
      </c>
      <c r="L37" s="39" t="s">
        <v>177</v>
      </c>
      <c r="M37" s="39" t="s">
        <v>178</v>
      </c>
      <c r="N37" s="39" t="s">
        <v>179</v>
      </c>
      <c r="O37" s="39" t="s">
        <v>180</v>
      </c>
      <c r="P37" s="39" t="s">
        <v>181</v>
      </c>
      <c r="Q37" s="39" t="s">
        <v>182</v>
      </c>
      <c r="R37" s="39" t="s">
        <v>183</v>
      </c>
      <c r="S37" s="39" t="s">
        <v>184</v>
      </c>
      <c r="T37" s="39" t="s">
        <v>185</v>
      </c>
      <c r="U37" s="39" t="s">
        <v>186</v>
      </c>
      <c r="V37" s="39" t="s">
        <v>187</v>
      </c>
      <c r="W37" s="39" t="s">
        <v>188</v>
      </c>
      <c r="X37" s="39" t="s">
        <v>189</v>
      </c>
      <c r="Y37" s="39" t="s">
        <v>190</v>
      </c>
      <c r="Z37" s="39" t="s">
        <v>191</v>
      </c>
      <c r="AA37" s="39" t="s">
        <v>192</v>
      </c>
      <c r="AB37" s="39" t="s">
        <v>193</v>
      </c>
      <c r="AC37" s="39" t="s">
        <v>194</v>
      </c>
      <c r="AD37" s="39" t="s">
        <v>195</v>
      </c>
      <c r="AE37" s="39" t="s">
        <v>196</v>
      </c>
      <c r="AF37" s="39" t="s">
        <v>197</v>
      </c>
      <c r="AG37" s="39" t="s">
        <v>198</v>
      </c>
      <c r="AH37" s="39" t="s">
        <v>199</v>
      </c>
      <c r="AI37" s="39" t="s">
        <v>200</v>
      </c>
      <c r="AJ37" s="39" t="s">
        <v>201</v>
      </c>
      <c r="AK37" s="39" t="s">
        <v>202</v>
      </c>
      <c r="AL37" s="39" t="s">
        <v>203</v>
      </c>
      <c r="AM37" s="39" t="s">
        <v>204</v>
      </c>
      <c r="AN37" s="39" t="s">
        <v>205</v>
      </c>
      <c r="AO37" s="39" t="s">
        <v>206</v>
      </c>
      <c r="AP37" s="39" t="s">
        <v>207</v>
      </c>
      <c r="AQ37" s="39" t="s">
        <v>208</v>
      </c>
      <c r="AR37" s="39" t="s">
        <v>209</v>
      </c>
      <c r="AS37" s="39" t="s">
        <v>210</v>
      </c>
      <c r="AT37" s="39" t="s">
        <v>211</v>
      </c>
      <c r="AU37" s="39" t="s">
        <v>212</v>
      </c>
      <c r="AV37" s="39" t="s">
        <v>213</v>
      </c>
      <c r="AW37" s="39" t="s">
        <v>214</v>
      </c>
      <c r="AX37" s="39" t="s">
        <v>265</v>
      </c>
      <c r="AY37" s="39" t="s">
        <v>266</v>
      </c>
      <c r="AZ37" s="39" t="s">
        <v>267</v>
      </c>
      <c r="BA37" s="39" t="s">
        <v>215</v>
      </c>
      <c r="BB37" s="39" t="s">
        <v>216</v>
      </c>
      <c r="BC37" s="39"/>
      <c r="BD37" s="33"/>
      <c r="BE37" s="34"/>
    </row>
    <row r="38" spans="1:57" x14ac:dyDescent="0.2">
      <c r="A38" s="46">
        <v>2004</v>
      </c>
      <c r="B38" s="40">
        <v>1.19</v>
      </c>
      <c r="C38" s="34" t="s">
        <v>217</v>
      </c>
      <c r="D38" s="43" t="s">
        <v>218</v>
      </c>
      <c r="E38" s="242">
        <v>117.131204</v>
      </c>
      <c r="F38" s="242">
        <v>21.754791000000001</v>
      </c>
      <c r="G38" s="242">
        <v>148.8432</v>
      </c>
      <c r="H38" s="242">
        <v>65.619609999999994</v>
      </c>
      <c r="I38" s="242">
        <v>1193.374953</v>
      </c>
      <c r="J38" s="242">
        <v>156.0891</v>
      </c>
      <c r="K38" s="242">
        <v>149.69299799999999</v>
      </c>
      <c r="L38" s="242">
        <v>28.201812</v>
      </c>
      <c r="M38" s="242">
        <v>518.35751100000004</v>
      </c>
      <c r="N38" s="242">
        <v>254.27301800000001</v>
      </c>
      <c r="O38" s="242">
        <v>37.922558000000002</v>
      </c>
      <c r="P38" s="242">
        <v>35.478997999999997</v>
      </c>
      <c r="Q38" s="242">
        <v>427.47915999999998</v>
      </c>
      <c r="R38" s="242">
        <v>178.058975</v>
      </c>
      <c r="S38" s="242">
        <v>85.614699999999999</v>
      </c>
      <c r="T38" s="242">
        <v>81.120073000000005</v>
      </c>
      <c r="U38" s="242">
        <v>107.212958</v>
      </c>
      <c r="V38" s="242">
        <v>115.37679900000001</v>
      </c>
      <c r="W38" s="242">
        <v>37.593868999999998</v>
      </c>
      <c r="X38" s="242">
        <v>206.09761700000001</v>
      </c>
      <c r="Y38" s="242">
        <v>254.60050000000001</v>
      </c>
      <c r="Z38" s="242">
        <v>303.988766</v>
      </c>
      <c r="AA38" s="242">
        <v>170.02113399999999</v>
      </c>
      <c r="AB38" s="242">
        <v>66.281149999999997</v>
      </c>
      <c r="AC38" s="242">
        <v>166.424317</v>
      </c>
      <c r="AD38" s="242">
        <v>23.055747</v>
      </c>
      <c r="AE38" s="242">
        <v>52.958053</v>
      </c>
      <c r="AF38" s="242">
        <v>69.295580999999999</v>
      </c>
      <c r="AG38" s="242">
        <v>44.956741000000001</v>
      </c>
      <c r="AH38" s="242">
        <v>346.764096</v>
      </c>
      <c r="AI38" s="242">
        <v>47.812637000000002</v>
      </c>
      <c r="AJ38" s="242">
        <v>690.69394299999999</v>
      </c>
      <c r="AK38" s="242">
        <v>237.48042000000001</v>
      </c>
      <c r="AL38" s="242">
        <v>17.295535999999998</v>
      </c>
      <c r="AM38" s="242">
        <v>340.84180099999998</v>
      </c>
      <c r="AN38" s="242">
        <v>93.894565999999998</v>
      </c>
      <c r="AO38" s="242">
        <v>103.29468300000001</v>
      </c>
      <c r="AP38" s="242">
        <v>396.48588699999999</v>
      </c>
      <c r="AQ38" s="242">
        <v>34.790916000000003</v>
      </c>
      <c r="AR38" s="242">
        <v>107.795878</v>
      </c>
      <c r="AS38" s="242">
        <v>21.741441999999999</v>
      </c>
      <c r="AT38" s="242">
        <v>165.97634500000001</v>
      </c>
      <c r="AU38" s="242">
        <v>636.76983299999995</v>
      </c>
      <c r="AV38" s="242">
        <v>60.288646</v>
      </c>
      <c r="AW38" s="242">
        <v>18.804283000000002</v>
      </c>
      <c r="AX38" s="242">
        <v>250.04919699999999</v>
      </c>
      <c r="AY38" s="242">
        <v>203.08212800000001</v>
      </c>
      <c r="AZ38" s="242">
        <v>43.685718000000001</v>
      </c>
      <c r="BA38" s="242">
        <v>169.440687</v>
      </c>
      <c r="BB38" s="242">
        <v>15.681936</v>
      </c>
      <c r="BC38" s="32"/>
      <c r="BD38" s="33" t="s">
        <v>219</v>
      </c>
      <c r="BE38" s="34"/>
    </row>
    <row r="39" spans="1:57" x14ac:dyDescent="0.2">
      <c r="A39" s="46">
        <v>2005</v>
      </c>
      <c r="B39" s="126">
        <v>1.1499999999999999</v>
      </c>
      <c r="C39" s="34" t="s">
        <v>217</v>
      </c>
      <c r="D39" s="43" t="s">
        <v>220</v>
      </c>
      <c r="E39" s="242">
        <v>122.113945</v>
      </c>
      <c r="F39" s="242">
        <v>22.622104</v>
      </c>
      <c r="G39" s="242">
        <v>156.789207</v>
      </c>
      <c r="H39" s="242">
        <v>69.455175999999994</v>
      </c>
      <c r="I39" s="242">
        <v>1244.351244</v>
      </c>
      <c r="J39" s="242">
        <v>159.38717299999999</v>
      </c>
      <c r="K39" s="242">
        <v>152.691417</v>
      </c>
      <c r="L39" s="242">
        <v>29.052275000000002</v>
      </c>
      <c r="M39" s="242">
        <v>543.15328799999997</v>
      </c>
      <c r="N39" s="242">
        <v>262.87248899999997</v>
      </c>
      <c r="O39" s="242">
        <v>39.803891999999998</v>
      </c>
      <c r="P39" s="242">
        <v>36.928030999999997</v>
      </c>
      <c r="Q39" s="242">
        <v>436.02597800000001</v>
      </c>
      <c r="R39" s="242">
        <v>183.058909</v>
      </c>
      <c r="S39" s="242">
        <v>87.755358000000001</v>
      </c>
      <c r="T39" s="242">
        <v>83.821149000000005</v>
      </c>
      <c r="U39" s="242">
        <v>110.066468</v>
      </c>
      <c r="V39" s="242">
        <v>119.056211</v>
      </c>
      <c r="W39" s="242">
        <v>39.525626000000003</v>
      </c>
      <c r="X39" s="242">
        <v>215.981695</v>
      </c>
      <c r="Y39" s="242">
        <v>260.85915499999999</v>
      </c>
      <c r="Z39" s="242">
        <v>312.52279199999998</v>
      </c>
      <c r="AA39" s="242">
        <v>177.97671199999999</v>
      </c>
      <c r="AB39" s="242">
        <v>68.862601999999995</v>
      </c>
      <c r="AC39" s="242">
        <v>173.25548499999999</v>
      </c>
      <c r="AD39" s="242">
        <v>24.499510999999998</v>
      </c>
      <c r="AE39" s="242">
        <v>56.554544</v>
      </c>
      <c r="AF39" s="242">
        <v>74.937490999999994</v>
      </c>
      <c r="AG39" s="242">
        <v>46.229644</v>
      </c>
      <c r="AH39" s="242">
        <v>354.63144499999999</v>
      </c>
      <c r="AI39" s="242">
        <v>49.392485999999998</v>
      </c>
      <c r="AJ39" s="242">
        <v>709.20955400000003</v>
      </c>
      <c r="AK39" s="242">
        <v>245.46645599999999</v>
      </c>
      <c r="AL39" s="242">
        <v>18.889029000000001</v>
      </c>
      <c r="AM39" s="242">
        <v>350.348502</v>
      </c>
      <c r="AN39" s="242">
        <v>97.170771999999999</v>
      </c>
      <c r="AO39" s="242">
        <v>106.932078</v>
      </c>
      <c r="AP39" s="242">
        <v>409.42351400000001</v>
      </c>
      <c r="AQ39" s="242">
        <v>36.386285000000001</v>
      </c>
      <c r="AR39" s="242">
        <v>111.544456</v>
      </c>
      <c r="AS39" s="242">
        <v>23.717981999999999</v>
      </c>
      <c r="AT39" s="242">
        <v>172.586637</v>
      </c>
      <c r="AU39" s="242">
        <v>661.63753699999995</v>
      </c>
      <c r="AV39" s="242">
        <v>62.084071999999999</v>
      </c>
      <c r="AW39" s="242">
        <v>19.686122000000001</v>
      </c>
      <c r="AX39" s="242">
        <v>264.549736</v>
      </c>
      <c r="AY39" s="242">
        <v>211.32429200000001</v>
      </c>
      <c r="AZ39" s="242">
        <v>44.770933999999997</v>
      </c>
      <c r="BA39" s="242">
        <v>175.32711599999999</v>
      </c>
      <c r="BB39" s="242">
        <v>16.784441999999999</v>
      </c>
      <c r="BC39" s="32"/>
      <c r="BD39" s="33" t="s">
        <v>219</v>
      </c>
      <c r="BE39" s="34"/>
    </row>
    <row r="40" spans="1:57" x14ac:dyDescent="0.2">
      <c r="A40" s="46">
        <v>2006</v>
      </c>
      <c r="B40" s="40">
        <v>1.1200000000000001</v>
      </c>
      <c r="C40" s="34" t="s">
        <v>217</v>
      </c>
      <c r="D40" s="43" t="s">
        <v>221</v>
      </c>
      <c r="E40" s="242">
        <v>130.761503</v>
      </c>
      <c r="F40" s="242">
        <v>23.595079999999999</v>
      </c>
      <c r="G40" s="242">
        <v>170.84493800000001</v>
      </c>
      <c r="H40" s="242">
        <v>73.978634</v>
      </c>
      <c r="I40" s="242">
        <v>1321.608538</v>
      </c>
      <c r="J40" s="242">
        <v>166.68741399999999</v>
      </c>
      <c r="K40" s="242">
        <v>163.23455000000001</v>
      </c>
      <c r="L40" s="242">
        <v>30.935835999999998</v>
      </c>
      <c r="M40" s="242">
        <v>593.30238999999995</v>
      </c>
      <c r="N40" s="242">
        <v>276.32600000000002</v>
      </c>
      <c r="O40" s="242">
        <v>43.072468999999998</v>
      </c>
      <c r="P40" s="242">
        <v>40.308298000000001</v>
      </c>
      <c r="Q40" s="242">
        <v>455.54719499999999</v>
      </c>
      <c r="R40" s="242">
        <v>192.181365</v>
      </c>
      <c r="S40" s="242">
        <v>95.269002</v>
      </c>
      <c r="T40" s="242">
        <v>87.394283999999999</v>
      </c>
      <c r="U40" s="242">
        <v>116.42350999999999</v>
      </c>
      <c r="V40" s="242">
        <v>125.38909099999999</v>
      </c>
      <c r="W40" s="242">
        <v>41.666105000000002</v>
      </c>
      <c r="X40" s="242">
        <v>232.06708</v>
      </c>
      <c r="Y40" s="242">
        <v>273.97037699999998</v>
      </c>
      <c r="Z40" s="242">
        <v>322.991625</v>
      </c>
      <c r="AA40" s="242">
        <v>187.625123</v>
      </c>
      <c r="AB40" s="242">
        <v>72.992069999999998</v>
      </c>
      <c r="AC40" s="242">
        <v>182.27828400000001</v>
      </c>
      <c r="AD40" s="242">
        <v>26.150698999999999</v>
      </c>
      <c r="AE40" s="242">
        <v>58.915393000000002</v>
      </c>
      <c r="AF40" s="242">
        <v>83.747609999999995</v>
      </c>
      <c r="AG40" s="242">
        <v>49.313313000000001</v>
      </c>
      <c r="AH40" s="242">
        <v>372.29634199999998</v>
      </c>
      <c r="AI40" s="242">
        <v>52.298153999999997</v>
      </c>
      <c r="AJ40" s="242">
        <v>752.72587299999998</v>
      </c>
      <c r="AK40" s="242">
        <v>263.65321299999999</v>
      </c>
      <c r="AL40" s="242">
        <v>19.221957</v>
      </c>
      <c r="AM40" s="242">
        <v>363.79620899999998</v>
      </c>
      <c r="AN40" s="242">
        <v>102.972021</v>
      </c>
      <c r="AO40" s="242">
        <v>112.78336899999999</v>
      </c>
      <c r="AP40" s="242">
        <v>430.40986700000002</v>
      </c>
      <c r="AQ40" s="242">
        <v>38.118499999999997</v>
      </c>
      <c r="AR40" s="242">
        <v>118.14660600000001</v>
      </c>
      <c r="AS40" s="242">
        <v>25.123821</v>
      </c>
      <c r="AT40" s="242">
        <v>182.74984900000001</v>
      </c>
      <c r="AU40" s="242">
        <v>696.16083500000002</v>
      </c>
      <c r="AV40" s="242">
        <v>66.154060000000001</v>
      </c>
      <c r="AW40" s="242">
        <v>20.917287000000002</v>
      </c>
      <c r="AX40" s="242">
        <v>282.141974</v>
      </c>
      <c r="AY40" s="242">
        <v>226.847115</v>
      </c>
      <c r="AZ40" s="242">
        <v>46.343407999999997</v>
      </c>
      <c r="BA40" s="242">
        <v>184.15483900000001</v>
      </c>
      <c r="BB40" s="242">
        <v>18.162500999999999</v>
      </c>
      <c r="BC40" s="32"/>
      <c r="BD40" s="33" t="s">
        <v>219</v>
      </c>
      <c r="BE40" s="34"/>
    </row>
    <row r="41" spans="1:57" x14ac:dyDescent="0.2">
      <c r="A41" s="46">
        <v>2007</v>
      </c>
      <c r="B41" s="40">
        <v>1.08</v>
      </c>
      <c r="C41" s="34" t="s">
        <v>217</v>
      </c>
      <c r="D41" s="43" t="s">
        <v>222</v>
      </c>
      <c r="E41" s="242">
        <v>137.95225500000001</v>
      </c>
      <c r="F41" s="242">
        <v>24.974740000000001</v>
      </c>
      <c r="G41" s="242">
        <v>189.29704899999999</v>
      </c>
      <c r="H41" s="242">
        <v>77.82047</v>
      </c>
      <c r="I41" s="242">
        <v>1396.1734220000001</v>
      </c>
      <c r="J41" s="242">
        <v>177.89882600000001</v>
      </c>
      <c r="K41" s="242">
        <v>171.49028000000001</v>
      </c>
      <c r="L41" s="242">
        <v>32.456749000000002</v>
      </c>
      <c r="M41" s="242">
        <v>647.19522400000005</v>
      </c>
      <c r="N41" s="242">
        <v>294.569367</v>
      </c>
      <c r="O41" s="242">
        <v>46.130670000000002</v>
      </c>
      <c r="P41" s="242">
        <v>42.808208</v>
      </c>
      <c r="Q41" s="242">
        <v>475.41886</v>
      </c>
      <c r="R41" s="242">
        <v>197.656091</v>
      </c>
      <c r="S41" s="242">
        <v>97.826790000000003</v>
      </c>
      <c r="T41" s="242">
        <v>91.745335999999995</v>
      </c>
      <c r="U41" s="242">
        <v>122.107619</v>
      </c>
      <c r="V41" s="242">
        <v>134.41928200000001</v>
      </c>
      <c r="W41" s="242">
        <v>42.537469000000002</v>
      </c>
      <c r="X41" s="242">
        <v>245.06304800000001</v>
      </c>
      <c r="Y41" s="242">
        <v>285.87858299999999</v>
      </c>
      <c r="Z41" s="242">
        <v>331.21468299999998</v>
      </c>
      <c r="AA41" s="242">
        <v>193.224628</v>
      </c>
      <c r="AB41" s="242">
        <v>77.934486000000007</v>
      </c>
      <c r="AC41" s="242">
        <v>189.352857</v>
      </c>
      <c r="AD41" s="242">
        <v>27.724844000000001</v>
      </c>
      <c r="AE41" s="242">
        <v>61.089348000000001</v>
      </c>
      <c r="AF41" s="242">
        <v>93.889217000000002</v>
      </c>
      <c r="AG41" s="242">
        <v>51.007522000000002</v>
      </c>
      <c r="AH41" s="242">
        <v>387.47734700000001</v>
      </c>
      <c r="AI41" s="242">
        <v>56.218800999999999</v>
      </c>
      <c r="AJ41" s="242">
        <v>794.06189500000005</v>
      </c>
      <c r="AK41" s="242">
        <v>281.19904600000001</v>
      </c>
      <c r="AL41" s="242">
        <v>20.400590999999999</v>
      </c>
      <c r="AM41" s="242">
        <v>375.381483</v>
      </c>
      <c r="AN41" s="242">
        <v>110.60371499999999</v>
      </c>
      <c r="AO41" s="242">
        <v>117.57933800000001</v>
      </c>
      <c r="AP41" s="242">
        <v>447.27422200000001</v>
      </c>
      <c r="AQ41" s="242">
        <v>38.992877999999997</v>
      </c>
      <c r="AR41" s="242">
        <v>125.347404</v>
      </c>
      <c r="AS41" s="242">
        <v>25.934436999999999</v>
      </c>
      <c r="AT41" s="242">
        <v>190.027141</v>
      </c>
      <c r="AU41" s="242">
        <v>756.53065600000002</v>
      </c>
      <c r="AV41" s="242">
        <v>72.344207999999995</v>
      </c>
      <c r="AW41" s="242">
        <v>21.450256</v>
      </c>
      <c r="AX41" s="242">
        <v>301.75475999999998</v>
      </c>
      <c r="AY41" s="242">
        <v>235.59141500000001</v>
      </c>
      <c r="AZ41" s="242">
        <v>48.040743999999997</v>
      </c>
      <c r="BA41" s="242">
        <v>190.60198099999999</v>
      </c>
      <c r="BB41" s="242">
        <v>20.158491000000001</v>
      </c>
      <c r="BC41" s="32"/>
      <c r="BD41" s="33" t="s">
        <v>219</v>
      </c>
      <c r="BE41" s="34"/>
    </row>
    <row r="42" spans="1:57" x14ac:dyDescent="0.2">
      <c r="A42" s="46">
        <v>2008</v>
      </c>
      <c r="B42" s="40">
        <v>1.04</v>
      </c>
      <c r="C42" s="34" t="s">
        <v>217</v>
      </c>
      <c r="D42" s="43" t="s">
        <v>223</v>
      </c>
      <c r="E42" s="242">
        <v>146.303967</v>
      </c>
      <c r="F42" s="242">
        <v>26.481591000000002</v>
      </c>
      <c r="G42" s="242">
        <v>209.91771199999999</v>
      </c>
      <c r="H42" s="242">
        <v>83.197957000000002</v>
      </c>
      <c r="I42" s="242">
        <v>1499.451517</v>
      </c>
      <c r="J42" s="242">
        <v>191.77457899999999</v>
      </c>
      <c r="K42" s="242">
        <v>184.95622700000001</v>
      </c>
      <c r="L42" s="242">
        <v>34.671626000000003</v>
      </c>
      <c r="M42" s="242">
        <v>703.28763500000002</v>
      </c>
      <c r="N42" s="242">
        <v>315.04751599999997</v>
      </c>
      <c r="O42" s="242">
        <v>49.607512</v>
      </c>
      <c r="P42" s="242">
        <v>47.024599000000002</v>
      </c>
      <c r="Q42" s="242">
        <v>508.20754899999997</v>
      </c>
      <c r="R42" s="242">
        <v>209.53064599999999</v>
      </c>
      <c r="S42" s="242">
        <v>103.071512</v>
      </c>
      <c r="T42" s="242">
        <v>99.391548</v>
      </c>
      <c r="U42" s="242">
        <v>129.38858500000001</v>
      </c>
      <c r="V42" s="242">
        <v>142.756204</v>
      </c>
      <c r="W42" s="242">
        <v>45.139882</v>
      </c>
      <c r="X42" s="242">
        <v>261.06689299999999</v>
      </c>
      <c r="Y42" s="242">
        <v>307.636259</v>
      </c>
      <c r="Z42" s="242">
        <v>339.72027500000002</v>
      </c>
      <c r="AA42" s="242">
        <v>204.38138599999999</v>
      </c>
      <c r="AB42" s="242">
        <v>81.373555999999994</v>
      </c>
      <c r="AC42" s="242">
        <v>201.04057800000001</v>
      </c>
      <c r="AD42" s="242">
        <v>29.974644000000001</v>
      </c>
      <c r="AE42" s="242">
        <v>63.797274999999999</v>
      </c>
      <c r="AF42" s="242">
        <v>100.56379699999999</v>
      </c>
      <c r="AG42" s="242">
        <v>54.511648000000001</v>
      </c>
      <c r="AH42" s="242">
        <v>416.61074000000002</v>
      </c>
      <c r="AI42" s="242">
        <v>60.060375000000001</v>
      </c>
      <c r="AJ42" s="242">
        <v>856.08754699999997</v>
      </c>
      <c r="AK42" s="242">
        <v>301.49821600000001</v>
      </c>
      <c r="AL42" s="242">
        <v>21.334130999999999</v>
      </c>
      <c r="AM42" s="242">
        <v>395.08623799999998</v>
      </c>
      <c r="AN42" s="242">
        <v>121.286643</v>
      </c>
      <c r="AO42" s="242">
        <v>127.173356</v>
      </c>
      <c r="AP42" s="242">
        <v>476.824522</v>
      </c>
      <c r="AQ42" s="242">
        <v>41.25761</v>
      </c>
      <c r="AR42" s="242">
        <v>135.57506699999999</v>
      </c>
      <c r="AS42" s="242">
        <v>26.554749999999999</v>
      </c>
      <c r="AT42" s="242">
        <v>201.594233</v>
      </c>
      <c r="AU42" s="242">
        <v>828.65889200000004</v>
      </c>
      <c r="AV42" s="242">
        <v>80.276972999999998</v>
      </c>
      <c r="AW42" s="242">
        <v>22.902752</v>
      </c>
      <c r="AX42" s="242">
        <v>322.86969599999998</v>
      </c>
      <c r="AY42" s="242">
        <v>255.717399</v>
      </c>
      <c r="AZ42" s="242">
        <v>51.603957000000001</v>
      </c>
      <c r="BA42" s="242">
        <v>202.390953</v>
      </c>
      <c r="BB42" s="242">
        <v>23.193002</v>
      </c>
      <c r="BC42" s="32"/>
      <c r="BD42" s="33" t="s">
        <v>219</v>
      </c>
      <c r="BE42" s="34"/>
    </row>
    <row r="43" spans="1:57" x14ac:dyDescent="0.2">
      <c r="A43" s="46">
        <v>2009</v>
      </c>
      <c r="B43" s="40">
        <v>1.05</v>
      </c>
      <c r="C43" s="34" t="s">
        <v>217</v>
      </c>
      <c r="D43" s="43" t="s">
        <v>224</v>
      </c>
      <c r="E43" s="242">
        <v>153.104016</v>
      </c>
      <c r="F43" s="242">
        <v>28.454519999999999</v>
      </c>
      <c r="G43" s="242">
        <v>221.19449399999999</v>
      </c>
      <c r="H43" s="242">
        <v>88.830539000000002</v>
      </c>
      <c r="I43" s="242">
        <v>1564.4406610000001</v>
      </c>
      <c r="J43" s="242">
        <v>202.717905</v>
      </c>
      <c r="K43" s="242">
        <v>196.404584</v>
      </c>
      <c r="L43" s="242">
        <v>35.767508999999997</v>
      </c>
      <c r="M43" s="242">
        <v>731.74618699999996</v>
      </c>
      <c r="N43" s="242">
        <v>332.37417099999999</v>
      </c>
      <c r="O43" s="242">
        <v>52.683981000000003</v>
      </c>
      <c r="P43" s="242">
        <v>49.725929999999998</v>
      </c>
      <c r="Q43" s="242">
        <v>536.66219999999998</v>
      </c>
      <c r="R43" s="242">
        <v>217.00548499999999</v>
      </c>
      <c r="S43" s="242">
        <v>110.484405</v>
      </c>
      <c r="T43" s="242">
        <v>105.670818</v>
      </c>
      <c r="U43" s="242">
        <v>134.89850799999999</v>
      </c>
      <c r="V43" s="242">
        <v>156.65299999999999</v>
      </c>
      <c r="W43" s="242">
        <v>47.122340999999999</v>
      </c>
      <c r="X43" s="242">
        <v>272.90134899999998</v>
      </c>
      <c r="Y43" s="242">
        <v>323.23056300000002</v>
      </c>
      <c r="Z43" s="242">
        <v>348.580377</v>
      </c>
      <c r="AA43" s="242">
        <v>216.55732900000001</v>
      </c>
      <c r="AB43" s="242">
        <v>86.358969999999999</v>
      </c>
      <c r="AC43" s="242">
        <v>210.90960200000001</v>
      </c>
      <c r="AD43" s="242">
        <v>32.182411999999999</v>
      </c>
      <c r="AE43" s="242">
        <v>68.560801999999995</v>
      </c>
      <c r="AF43" s="242">
        <v>106.27617600000001</v>
      </c>
      <c r="AG43" s="242">
        <v>56.949078</v>
      </c>
      <c r="AH43" s="242">
        <v>439.41031400000003</v>
      </c>
      <c r="AI43" s="242">
        <v>63.609395999999997</v>
      </c>
      <c r="AJ43" s="242">
        <v>923.96889299999998</v>
      </c>
      <c r="AK43" s="242">
        <v>319.85009300000002</v>
      </c>
      <c r="AL43" s="242">
        <v>23.584382999999999</v>
      </c>
      <c r="AM43" s="242">
        <v>409.34800200000001</v>
      </c>
      <c r="AN43" s="242">
        <v>125.88863600000001</v>
      </c>
      <c r="AO43" s="242">
        <v>133.245788</v>
      </c>
      <c r="AP43" s="242">
        <v>501.59108700000002</v>
      </c>
      <c r="AQ43" s="242">
        <v>43.125881</v>
      </c>
      <c r="AR43" s="242">
        <v>143.767529</v>
      </c>
      <c r="AS43" s="242">
        <v>29.435075000000001</v>
      </c>
      <c r="AT43" s="242">
        <v>210.986558</v>
      </c>
      <c r="AU43" s="242">
        <v>878.66934800000001</v>
      </c>
      <c r="AV43" s="242">
        <v>87.387489000000002</v>
      </c>
      <c r="AW43" s="242">
        <v>24.113330000000001</v>
      </c>
      <c r="AX43" s="242">
        <v>340.43471499999998</v>
      </c>
      <c r="AY43" s="242">
        <v>276.84649300000001</v>
      </c>
      <c r="AZ43" s="242">
        <v>53.551935</v>
      </c>
      <c r="BA43" s="242">
        <v>211.39791099999999</v>
      </c>
      <c r="BB43" s="242">
        <v>24.489004999999999</v>
      </c>
      <c r="BC43" s="32"/>
      <c r="BD43" s="33" t="s">
        <v>219</v>
      </c>
      <c r="BE43" s="34"/>
    </row>
    <row r="44" spans="1:57" x14ac:dyDescent="0.2">
      <c r="A44" s="46">
        <v>2010</v>
      </c>
      <c r="B44" s="40">
        <v>1.03</v>
      </c>
      <c r="C44" s="34" t="s">
        <v>217</v>
      </c>
      <c r="D44" s="43" t="s">
        <v>225</v>
      </c>
      <c r="E44" s="242">
        <v>159.00926200000001</v>
      </c>
      <c r="F44" s="242">
        <v>31.035035000000001</v>
      </c>
      <c r="G44" s="242">
        <v>224.65975599999999</v>
      </c>
      <c r="H44" s="242">
        <v>93.073267000000001</v>
      </c>
      <c r="I44" s="242">
        <v>1596.2818970000001</v>
      </c>
      <c r="J44" s="242">
        <v>212.243112</v>
      </c>
      <c r="K44" s="242">
        <v>198.98182399999999</v>
      </c>
      <c r="L44" s="242">
        <v>36.671756000000002</v>
      </c>
      <c r="M44" s="242">
        <v>736.19834600000002</v>
      </c>
      <c r="N44" s="242">
        <v>339.90046999999998</v>
      </c>
      <c r="O44" s="242">
        <v>55.222991999999998</v>
      </c>
      <c r="P44" s="242">
        <v>50.319966999999998</v>
      </c>
      <c r="Q44" s="242">
        <v>552.43574999999998</v>
      </c>
      <c r="R44" s="242">
        <v>224.65127899999999</v>
      </c>
      <c r="S44" s="242">
        <v>118.98069099999999</v>
      </c>
      <c r="T44" s="242">
        <v>114.00357200000001</v>
      </c>
      <c r="U44" s="242">
        <v>140.870507</v>
      </c>
      <c r="V44" s="242">
        <v>167.66041200000001</v>
      </c>
      <c r="W44" s="242">
        <v>48.771438000000003</v>
      </c>
      <c r="X44" s="242">
        <v>283.05252999999999</v>
      </c>
      <c r="Y44" s="242">
        <v>333.24608499999999</v>
      </c>
      <c r="Z44" s="242">
        <v>354.07714700000002</v>
      </c>
      <c r="AA44" s="242">
        <v>225.97839999999999</v>
      </c>
      <c r="AB44" s="242">
        <v>90.376904999999994</v>
      </c>
      <c r="AC44" s="242">
        <v>221.45125300000001</v>
      </c>
      <c r="AD44" s="242">
        <v>33.881017</v>
      </c>
      <c r="AE44" s="242">
        <v>72.787080000000003</v>
      </c>
      <c r="AF44" s="242">
        <v>105.97507400000001</v>
      </c>
      <c r="AG44" s="242">
        <v>58.399850000000001</v>
      </c>
      <c r="AH44" s="242">
        <v>451.50438800000001</v>
      </c>
      <c r="AI44" s="242">
        <v>67.154342</v>
      </c>
      <c r="AJ44" s="242">
        <v>945.34293600000001</v>
      </c>
      <c r="AK44" s="242">
        <v>332.617073</v>
      </c>
      <c r="AL44" s="242">
        <v>26.881499000000002</v>
      </c>
      <c r="AM44" s="242">
        <v>419.00425000000001</v>
      </c>
      <c r="AN44" s="242">
        <v>138.0849</v>
      </c>
      <c r="AO44" s="242">
        <v>138.58260200000001</v>
      </c>
      <c r="AP44" s="242">
        <v>519.54295000000002</v>
      </c>
      <c r="AQ44" s="242">
        <v>44.143872999999999</v>
      </c>
      <c r="AR44" s="242">
        <v>150.16576000000001</v>
      </c>
      <c r="AS44" s="242">
        <v>32.251192000000003</v>
      </c>
      <c r="AT44" s="242">
        <v>219.04175900000001</v>
      </c>
      <c r="AU44" s="242">
        <v>963.94863499999997</v>
      </c>
      <c r="AV44" s="242">
        <v>91.248703000000006</v>
      </c>
      <c r="AW44" s="242">
        <v>25.058304</v>
      </c>
      <c r="AX44" s="242">
        <v>351.72115500000001</v>
      </c>
      <c r="AY44" s="242">
        <v>289.80102399999998</v>
      </c>
      <c r="AZ44" s="242">
        <v>56.993729999999999</v>
      </c>
      <c r="BA44" s="242">
        <v>218.505672</v>
      </c>
      <c r="BB44" s="242">
        <v>26.792760999999999</v>
      </c>
      <c r="BC44" s="32"/>
      <c r="BD44" s="33" t="s">
        <v>219</v>
      </c>
      <c r="BE44" s="34"/>
    </row>
    <row r="45" spans="1:57" x14ac:dyDescent="0.2">
      <c r="A45" s="47">
        <v>2011</v>
      </c>
      <c r="B45" s="40">
        <v>1</v>
      </c>
      <c r="C45" s="34" t="s">
        <v>217</v>
      </c>
      <c r="D45" s="43" t="s">
        <v>226</v>
      </c>
      <c r="E45" s="242">
        <v>156.67757399999999</v>
      </c>
      <c r="F45" s="242">
        <v>30.943563000000001</v>
      </c>
      <c r="G45" s="242">
        <v>215.48654500000001</v>
      </c>
      <c r="H45" s="242">
        <v>91.625349999999997</v>
      </c>
      <c r="I45" s="242">
        <v>1536.4296099999999</v>
      </c>
      <c r="J45" s="242">
        <v>206.42264800000001</v>
      </c>
      <c r="K45" s="242">
        <v>191.312735</v>
      </c>
      <c r="L45" s="242">
        <v>36.419195999999999</v>
      </c>
      <c r="M45" s="242">
        <v>696.48670600000003</v>
      </c>
      <c r="N45" s="242">
        <v>330.28713599999998</v>
      </c>
      <c r="O45" s="242">
        <v>55.666358000000002</v>
      </c>
      <c r="P45" s="242">
        <v>49.165320000000001</v>
      </c>
      <c r="Q45" s="242">
        <v>531.62523999999996</v>
      </c>
      <c r="R45" s="242">
        <v>217.54513299999999</v>
      </c>
      <c r="S45" s="242">
        <v>117.41140799999999</v>
      </c>
      <c r="T45" s="242">
        <v>109.73079</v>
      </c>
      <c r="U45" s="242">
        <v>139.396458</v>
      </c>
      <c r="V45" s="242">
        <v>163.39626899999999</v>
      </c>
      <c r="W45" s="242">
        <v>48.938904999999998</v>
      </c>
      <c r="X45" s="242">
        <v>282.15279600000002</v>
      </c>
      <c r="Y45" s="242">
        <v>327.86346700000001</v>
      </c>
      <c r="Z45" s="242">
        <v>338.32154400000002</v>
      </c>
      <c r="AA45" s="242">
        <v>217.59521599999999</v>
      </c>
      <c r="AB45" s="242">
        <v>89.501172999999994</v>
      </c>
      <c r="AC45" s="242">
        <v>216.52572900000001</v>
      </c>
      <c r="AD45" s="242">
        <v>33.112096999999999</v>
      </c>
      <c r="AE45" s="242">
        <v>71.469599000000002</v>
      </c>
      <c r="AF45" s="242">
        <v>98.901267000000004</v>
      </c>
      <c r="AG45" s="242">
        <v>57.628833999999998</v>
      </c>
      <c r="AH45" s="242">
        <v>440.429417</v>
      </c>
      <c r="AI45" s="242">
        <v>66.178427999999997</v>
      </c>
      <c r="AJ45" s="242">
        <v>924.45330899999999</v>
      </c>
      <c r="AK45" s="242">
        <v>330.11323099999998</v>
      </c>
      <c r="AL45" s="242">
        <v>26.601994999999999</v>
      </c>
      <c r="AM45" s="242">
        <v>409.401905</v>
      </c>
      <c r="AN45" s="242">
        <v>128.760775</v>
      </c>
      <c r="AO45" s="242">
        <v>135.66704100000001</v>
      </c>
      <c r="AP45" s="242">
        <v>514.67864599999996</v>
      </c>
      <c r="AQ45" s="242">
        <v>43.470708000000002</v>
      </c>
      <c r="AR45" s="242">
        <v>148.60298</v>
      </c>
      <c r="AS45" s="242">
        <v>31.605170000000001</v>
      </c>
      <c r="AT45" s="242">
        <v>217.00049200000001</v>
      </c>
      <c r="AU45" s="242">
        <v>915.95426699999996</v>
      </c>
      <c r="AV45" s="242">
        <v>88.270188000000005</v>
      </c>
      <c r="AW45" s="242">
        <v>24.697271000000001</v>
      </c>
      <c r="AX45" s="242">
        <v>349.23812299999997</v>
      </c>
      <c r="AY45" s="242">
        <v>280.77802800000001</v>
      </c>
      <c r="AZ45" s="242">
        <v>57.698030000000003</v>
      </c>
      <c r="BA45" s="242">
        <v>217.49521200000001</v>
      </c>
      <c r="BB45" s="242">
        <v>24.327845</v>
      </c>
      <c r="BC45" s="32"/>
      <c r="BD45" s="33" t="s">
        <v>219</v>
      </c>
      <c r="BE45" s="34"/>
    </row>
    <row r="46" spans="1:57" x14ac:dyDescent="0.2">
      <c r="B46" s="40"/>
      <c r="C46" s="34" t="s">
        <v>217</v>
      </c>
      <c r="D46" s="43" t="s">
        <v>227</v>
      </c>
      <c r="E46" s="242">
        <v>162.22829300000001</v>
      </c>
      <c r="F46" s="242">
        <v>32.649638000000003</v>
      </c>
      <c r="G46" s="242">
        <v>217.75870499999999</v>
      </c>
      <c r="H46" s="242">
        <v>93.683053999999998</v>
      </c>
      <c r="I46" s="242">
        <v>1579.148473</v>
      </c>
      <c r="J46" s="242">
        <v>210.60767300000001</v>
      </c>
      <c r="K46" s="242">
        <v>197.83934099999999</v>
      </c>
      <c r="L46" s="242">
        <v>36.957645999999997</v>
      </c>
      <c r="M46" s="242">
        <v>725.43625799999995</v>
      </c>
      <c r="N46" s="242">
        <v>333.63266399999998</v>
      </c>
      <c r="O46" s="242">
        <v>56.827238000000001</v>
      </c>
      <c r="P46" s="242">
        <v>50.385190999999999</v>
      </c>
      <c r="Q46" s="242">
        <v>540.22334899999998</v>
      </c>
      <c r="R46" s="242">
        <v>223.15808899999999</v>
      </c>
      <c r="S46" s="242">
        <v>119.079741</v>
      </c>
      <c r="T46" s="242">
        <v>110.884681</v>
      </c>
      <c r="U46" s="242">
        <v>143.210961</v>
      </c>
      <c r="V46" s="242">
        <v>169.11669800000001</v>
      </c>
      <c r="W46" s="242">
        <v>49.360227000000002</v>
      </c>
      <c r="X46" s="242">
        <v>289.65310499999998</v>
      </c>
      <c r="Y46" s="242">
        <v>337.93159900000001</v>
      </c>
      <c r="Z46" s="242">
        <v>346.81816700000002</v>
      </c>
      <c r="AA46" s="242">
        <v>226.31986499999999</v>
      </c>
      <c r="AB46" s="242">
        <v>91.588325999999995</v>
      </c>
      <c r="AC46" s="242">
        <v>219.48395500000001</v>
      </c>
      <c r="AD46" s="242">
        <v>34.268808</v>
      </c>
      <c r="AE46" s="242">
        <v>73.069102000000001</v>
      </c>
      <c r="AF46" s="242">
        <v>99.206198999999998</v>
      </c>
      <c r="AG46" s="242">
        <v>59.194673000000002</v>
      </c>
      <c r="AH46" s="242">
        <v>449.05990300000002</v>
      </c>
      <c r="AI46" s="242">
        <v>68.489125000000001</v>
      </c>
      <c r="AJ46" s="242">
        <v>960.82650899999999</v>
      </c>
      <c r="AK46" s="242">
        <v>338.98746799999998</v>
      </c>
      <c r="AL46" s="242">
        <v>29.153772</v>
      </c>
      <c r="AM46" s="242">
        <v>418.53506099999998</v>
      </c>
      <c r="AN46" s="242">
        <v>135.06258500000001</v>
      </c>
      <c r="AO46" s="242">
        <v>137.67166599999999</v>
      </c>
      <c r="AP46" s="242">
        <v>529.80775900000003</v>
      </c>
      <c r="AQ46" s="242">
        <v>45.267567</v>
      </c>
      <c r="AR46" s="242">
        <v>151.53677200000001</v>
      </c>
      <c r="AS46" s="242">
        <v>33.135741000000003</v>
      </c>
      <c r="AT46" s="242">
        <v>225.22465099999999</v>
      </c>
      <c r="AU46" s="242">
        <v>961.82811000000004</v>
      </c>
      <c r="AV46" s="242">
        <v>90.112697999999995</v>
      </c>
      <c r="AW46" s="242">
        <v>25.115705999999999</v>
      </c>
      <c r="AX46" s="242">
        <v>359.95612399999999</v>
      </c>
      <c r="AY46" s="242">
        <v>286.743785</v>
      </c>
      <c r="AZ46" s="242">
        <v>58.950091999999998</v>
      </c>
      <c r="BA46" s="242">
        <v>220.50227699999999</v>
      </c>
      <c r="BB46" s="242">
        <v>25.433572000000002</v>
      </c>
      <c r="BC46" s="32"/>
      <c r="BD46" s="33" t="s">
        <v>219</v>
      </c>
      <c r="BE46" s="34"/>
    </row>
    <row r="47" spans="1:57" x14ac:dyDescent="0.2">
      <c r="B47" s="40"/>
      <c r="C47" s="34" t="s">
        <v>217</v>
      </c>
      <c r="D47" s="43" t="s">
        <v>228</v>
      </c>
      <c r="E47" s="242">
        <v>167.78662299999999</v>
      </c>
      <c r="F47" s="242">
        <v>34.827461</v>
      </c>
      <c r="G47" s="242">
        <v>229.23792800000001</v>
      </c>
      <c r="H47" s="242">
        <v>100.00483699999999</v>
      </c>
      <c r="I47" s="242">
        <v>1683.2037</v>
      </c>
      <c r="J47" s="242">
        <v>226.031916</v>
      </c>
      <c r="K47" s="242">
        <v>207.161731</v>
      </c>
      <c r="L47" s="242">
        <v>38.872577999999997</v>
      </c>
      <c r="M47" s="242">
        <v>761.30323199999998</v>
      </c>
      <c r="N47" s="242">
        <v>356.836412</v>
      </c>
      <c r="O47" s="242">
        <v>60.094999999999999</v>
      </c>
      <c r="P47" s="242">
        <v>52.953795</v>
      </c>
      <c r="Q47" s="242">
        <v>567.19669299999998</v>
      </c>
      <c r="R47" s="242">
        <v>236.81523000000001</v>
      </c>
      <c r="S47" s="242">
        <v>130.13071199999999</v>
      </c>
      <c r="T47" s="242">
        <v>120.78282</v>
      </c>
      <c r="U47" s="242">
        <v>150.849692</v>
      </c>
      <c r="V47" s="242">
        <v>176.68986699999999</v>
      </c>
      <c r="W47" s="242">
        <v>51.653255999999999</v>
      </c>
      <c r="X47" s="242">
        <v>306.00136800000001</v>
      </c>
      <c r="Y47" s="242">
        <v>358.21759800000001</v>
      </c>
      <c r="Z47" s="242">
        <v>365.75283000000002</v>
      </c>
      <c r="AA47" s="242">
        <v>241.35199800000001</v>
      </c>
      <c r="AB47" s="242">
        <v>95.854423999999995</v>
      </c>
      <c r="AC47" s="242">
        <v>228.269622</v>
      </c>
      <c r="AD47" s="242">
        <v>36.630465999999998</v>
      </c>
      <c r="AE47" s="242">
        <v>80.419976000000005</v>
      </c>
      <c r="AF47" s="242">
        <v>101.716888</v>
      </c>
      <c r="AG47" s="242">
        <v>62.651206999999999</v>
      </c>
      <c r="AH47" s="242">
        <v>471.18786999999998</v>
      </c>
      <c r="AI47" s="242">
        <v>72.300257999999999</v>
      </c>
      <c r="AJ47" s="242">
        <v>1012.4056440000001</v>
      </c>
      <c r="AK47" s="242">
        <v>352.45499799999999</v>
      </c>
      <c r="AL47" s="242">
        <v>32.332079</v>
      </c>
      <c r="AM47" s="242">
        <v>446.13556199999999</v>
      </c>
      <c r="AN47" s="242">
        <v>147.429565</v>
      </c>
      <c r="AO47" s="242">
        <v>146.001498</v>
      </c>
      <c r="AP47" s="242">
        <v>558.34514799999999</v>
      </c>
      <c r="AQ47" s="242">
        <v>46.881303000000003</v>
      </c>
      <c r="AR47" s="242">
        <v>159.74733000000001</v>
      </c>
      <c r="AS47" s="242">
        <v>36.932454999999997</v>
      </c>
      <c r="AT47" s="242">
        <v>237.61845299999999</v>
      </c>
      <c r="AU47" s="242">
        <v>1053.5515399999999</v>
      </c>
      <c r="AV47" s="242">
        <v>96.175090999999995</v>
      </c>
      <c r="AW47" s="242">
        <v>26.887509999999999</v>
      </c>
      <c r="AX47" s="242">
        <v>381.93040300000001</v>
      </c>
      <c r="AY47" s="242">
        <v>303.08783399999999</v>
      </c>
      <c r="AZ47" s="242">
        <v>62.737372999999998</v>
      </c>
      <c r="BA47" s="242">
        <v>232.094278</v>
      </c>
      <c r="BB47" s="242">
        <v>27.920461</v>
      </c>
      <c r="BC47" s="32"/>
      <c r="BD47" s="33" t="s">
        <v>219</v>
      </c>
      <c r="BE47" s="34"/>
    </row>
    <row r="49" spans="3:57" ht="30.75" customHeight="1" x14ac:dyDescent="0.2">
      <c r="C49" s="29">
        <v>7</v>
      </c>
      <c r="D49" s="44" t="s">
        <v>229</v>
      </c>
      <c r="E49" s="42" t="s">
        <v>170</v>
      </c>
      <c r="F49" s="45" t="s">
        <v>171</v>
      </c>
      <c r="G49" s="45" t="s">
        <v>172</v>
      </c>
      <c r="H49" s="45" t="s">
        <v>173</v>
      </c>
      <c r="I49" s="45" t="s">
        <v>174</v>
      </c>
      <c r="J49" s="45" t="s">
        <v>175</v>
      </c>
      <c r="K49" s="45" t="s">
        <v>176</v>
      </c>
      <c r="L49" s="45" t="s">
        <v>177</v>
      </c>
      <c r="M49" s="45" t="s">
        <v>178</v>
      </c>
      <c r="N49" s="45" t="s">
        <v>179</v>
      </c>
      <c r="O49" s="45" t="s">
        <v>180</v>
      </c>
      <c r="P49" s="45" t="s">
        <v>181</v>
      </c>
      <c r="Q49" s="45" t="s">
        <v>182</v>
      </c>
      <c r="R49" s="45" t="s">
        <v>183</v>
      </c>
      <c r="S49" s="45" t="s">
        <v>184</v>
      </c>
      <c r="T49" s="45" t="s">
        <v>185</v>
      </c>
      <c r="U49" s="45" t="s">
        <v>186</v>
      </c>
      <c r="V49" s="45" t="s">
        <v>187</v>
      </c>
      <c r="W49" s="45" t="s">
        <v>188</v>
      </c>
      <c r="X49" s="45" t="s">
        <v>189</v>
      </c>
      <c r="Y49" s="45" t="s">
        <v>190</v>
      </c>
      <c r="Z49" s="45" t="s">
        <v>191</v>
      </c>
      <c r="AA49" s="45" t="s">
        <v>192</v>
      </c>
      <c r="AB49" s="45" t="s">
        <v>193</v>
      </c>
      <c r="AC49" s="45" t="s">
        <v>194</v>
      </c>
      <c r="AD49" s="45" t="s">
        <v>195</v>
      </c>
      <c r="AE49" s="45" t="s">
        <v>196</v>
      </c>
      <c r="AF49" s="45" t="s">
        <v>197</v>
      </c>
      <c r="AG49" s="45" t="s">
        <v>198</v>
      </c>
      <c r="AH49" s="45" t="s">
        <v>199</v>
      </c>
      <c r="AI49" s="45" t="s">
        <v>200</v>
      </c>
      <c r="AJ49" s="45" t="s">
        <v>201</v>
      </c>
      <c r="AK49" s="45" t="s">
        <v>202</v>
      </c>
      <c r="AL49" s="45" t="s">
        <v>203</v>
      </c>
      <c r="AM49" s="45" t="s">
        <v>204</v>
      </c>
      <c r="AN49" s="45" t="s">
        <v>205</v>
      </c>
      <c r="AO49" s="45" t="s">
        <v>206</v>
      </c>
      <c r="AP49" s="45" t="s">
        <v>207</v>
      </c>
      <c r="AQ49" s="45" t="s">
        <v>208</v>
      </c>
      <c r="AR49" s="45" t="s">
        <v>209</v>
      </c>
      <c r="AS49" s="45" t="s">
        <v>210</v>
      </c>
      <c r="AT49" s="45" t="s">
        <v>211</v>
      </c>
      <c r="AU49" s="45" t="s">
        <v>212</v>
      </c>
      <c r="AV49" s="45" t="s">
        <v>213</v>
      </c>
      <c r="AW49" s="45" t="s">
        <v>214</v>
      </c>
      <c r="AX49" s="45" t="s">
        <v>265</v>
      </c>
      <c r="AY49" s="45" t="s">
        <v>266</v>
      </c>
      <c r="AZ49" s="45" t="s">
        <v>267</v>
      </c>
      <c r="BA49" s="45" t="s">
        <v>215</v>
      </c>
      <c r="BB49" s="45" t="s">
        <v>216</v>
      </c>
    </row>
    <row r="50" spans="3:57" x14ac:dyDescent="0.2">
      <c r="C50" s="34" t="s">
        <v>217</v>
      </c>
      <c r="D50" s="46">
        <v>2002</v>
      </c>
      <c r="E50" s="68">
        <f>E38*$C$24</f>
        <v>12.615015948587354</v>
      </c>
      <c r="F50" s="68">
        <f t="shared" ref="F50:BB50" si="51">F38*$C$24</f>
        <v>2.3429882563418767</v>
      </c>
      <c r="G50" s="68">
        <f t="shared" si="51"/>
        <v>16.030393931908847</v>
      </c>
      <c r="H50" s="68">
        <f t="shared" si="51"/>
        <v>7.0672237492759153</v>
      </c>
      <c r="I50" s="68">
        <f t="shared" si="51"/>
        <v>128.52633244288759</v>
      </c>
      <c r="J50" s="68">
        <f t="shared" si="51"/>
        <v>16.810776451172195</v>
      </c>
      <c r="K50" s="68">
        <f t="shared" si="51"/>
        <v>16.121917069697794</v>
      </c>
      <c r="L50" s="68">
        <f t="shared" si="51"/>
        <v>3.0373316077162684</v>
      </c>
      <c r="M50" s="68">
        <f t="shared" si="51"/>
        <v>55.82703878238155</v>
      </c>
      <c r="N50" s="68">
        <f t="shared" si="51"/>
        <v>27.385172079042569</v>
      </c>
      <c r="O50" s="68">
        <f t="shared" si="51"/>
        <v>4.0842547301163998</v>
      </c>
      <c r="P50" s="68">
        <f t="shared" si="51"/>
        <v>3.8210836252472808</v>
      </c>
      <c r="Q50" s="68">
        <f t="shared" si="51"/>
        <v>46.039451802174973</v>
      </c>
      <c r="R50" s="68">
        <f t="shared" si="51"/>
        <v>19.17692922728018</v>
      </c>
      <c r="S50" s="68">
        <f t="shared" si="51"/>
        <v>9.2206924290944858</v>
      </c>
      <c r="T50" s="68">
        <f t="shared" si="51"/>
        <v>8.7366216661238312</v>
      </c>
      <c r="U50" s="68">
        <f t="shared" si="51"/>
        <v>11.546822101010983</v>
      </c>
      <c r="V50" s="68">
        <f t="shared" si="51"/>
        <v>12.426066750598393</v>
      </c>
      <c r="W50" s="68">
        <f t="shared" si="51"/>
        <v>4.0488549661292961</v>
      </c>
      <c r="X50" s="68">
        <f t="shared" si="51"/>
        <v>22.196687446505273</v>
      </c>
      <c r="Y50" s="68">
        <f t="shared" si="51"/>
        <v>27.420441849281382</v>
      </c>
      <c r="Z50" s="68">
        <f t="shared" si="51"/>
        <v>32.739551889873759</v>
      </c>
      <c r="AA50" s="68">
        <f t="shared" si="51"/>
        <v>18.311254761855835</v>
      </c>
      <c r="AB50" s="68">
        <f t="shared" si="51"/>
        <v>7.1384715241270005</v>
      </c>
      <c r="AC50" s="68">
        <f t="shared" si="51"/>
        <v>17.92387802303951</v>
      </c>
      <c r="AD50" s="68">
        <f t="shared" si="51"/>
        <v>2.48310105402481</v>
      </c>
      <c r="AE50" s="68">
        <f t="shared" si="51"/>
        <v>5.7035756518061094</v>
      </c>
      <c r="AF50" s="68">
        <f>AF38*$C$24</f>
        <v>7.4631253639433845</v>
      </c>
      <c r="AG50" s="68">
        <f t="shared" si="51"/>
        <v>4.8418353550904421</v>
      </c>
      <c r="AH50" s="68">
        <f t="shared" si="51"/>
        <v>37.346449554445591</v>
      </c>
      <c r="AI50" s="68">
        <f t="shared" si="51"/>
        <v>5.1494149953330783</v>
      </c>
      <c r="AJ50" s="68">
        <f t="shared" si="51"/>
        <v>74.387650847827743</v>
      </c>
      <c r="AK50" s="68">
        <f t="shared" si="51"/>
        <v>25.576611385103011</v>
      </c>
      <c r="AL50" s="68">
        <f t="shared" si="51"/>
        <v>1.862727053325318</v>
      </c>
      <c r="AM50" s="68">
        <f t="shared" si="51"/>
        <v>36.708619127318428</v>
      </c>
      <c r="AN50" s="68">
        <f t="shared" si="51"/>
        <v>10.11243295659872</v>
      </c>
      <c r="AO50" s="68">
        <f t="shared" si="51"/>
        <v>11.124824375998688</v>
      </c>
      <c r="AP50" s="68">
        <f t="shared" si="51"/>
        <v>42.701480195617243</v>
      </c>
      <c r="AQ50" s="68">
        <f t="shared" si="51"/>
        <v>3.7469772803322585</v>
      </c>
      <c r="AR50" s="68">
        <f t="shared" si="51"/>
        <v>11.609602511743811</v>
      </c>
      <c r="AS50" s="68">
        <f t="shared" si="51"/>
        <v>2.3415505707197113</v>
      </c>
      <c r="AT50" s="68">
        <f t="shared" si="51"/>
        <v>17.875631494945079</v>
      </c>
      <c r="AU50" s="68">
        <f t="shared" si="51"/>
        <v>68.580030978545267</v>
      </c>
      <c r="AV50" s="68">
        <f t="shared" si="51"/>
        <v>6.4930795965243995</v>
      </c>
      <c r="AW50" s="68">
        <f t="shared" si="51"/>
        <v>2.0252189155910161</v>
      </c>
      <c r="AX50" s="68">
        <f t="shared" si="51"/>
        <v>26.930267088234327</v>
      </c>
      <c r="AY50" s="68">
        <f t="shared" si="51"/>
        <v>21.87191966022187</v>
      </c>
      <c r="AZ50" s="68">
        <f t="shared" si="51"/>
        <v>4.7049463377452314</v>
      </c>
      <c r="BA50" s="68">
        <f t="shared" si="51"/>
        <v>18.248740692912179</v>
      </c>
      <c r="BB50" s="68">
        <f t="shared" si="51"/>
        <v>1.6889425361385868</v>
      </c>
      <c r="BE50" s="20" t="s">
        <v>230</v>
      </c>
    </row>
    <row r="51" spans="3:57" x14ac:dyDescent="0.2">
      <c r="C51" s="34" t="s">
        <v>217</v>
      </c>
      <c r="D51" s="46">
        <v>2003</v>
      </c>
      <c r="E51" s="68">
        <f>E39*$D$24</f>
        <v>13.096140123687761</v>
      </c>
      <c r="F51" s="68">
        <f t="shared" ref="F51:BB51" si="52">F39*$D$24</f>
        <v>2.4261131181753024</v>
      </c>
      <c r="G51" s="68">
        <f t="shared" si="52"/>
        <v>16.814897141795608</v>
      </c>
      <c r="H51" s="68">
        <f t="shared" si="52"/>
        <v>7.4487374657447614</v>
      </c>
      <c r="I51" s="68">
        <f t="shared" si="52"/>
        <v>133.45075580441841</v>
      </c>
      <c r="J51" s="68">
        <f t="shared" si="52"/>
        <v>17.093516645674352</v>
      </c>
      <c r="K51" s="68">
        <f t="shared" si="52"/>
        <v>16.375428643439857</v>
      </c>
      <c r="L51" s="68">
        <f t="shared" si="52"/>
        <v>3.1157183916375057</v>
      </c>
      <c r="M51" s="68">
        <f t="shared" si="52"/>
        <v>58.2506082191492</v>
      </c>
      <c r="N51" s="68">
        <f t="shared" si="52"/>
        <v>28.191824861661534</v>
      </c>
      <c r="O51" s="68">
        <f t="shared" si="52"/>
        <v>4.2687782062903157</v>
      </c>
      <c r="P51" s="68">
        <f t="shared" si="52"/>
        <v>3.9603557846557607</v>
      </c>
      <c r="Q51" s="68">
        <f t="shared" si="52"/>
        <v>46.761713459146677</v>
      </c>
      <c r="R51" s="68">
        <f t="shared" si="52"/>
        <v>19.632197806347232</v>
      </c>
      <c r="S51" s="68">
        <f t="shared" si="52"/>
        <v>9.4113449939921576</v>
      </c>
      <c r="T51" s="68">
        <f t="shared" si="52"/>
        <v>8.989419780292172</v>
      </c>
      <c r="U51" s="68">
        <f t="shared" si="52"/>
        <v>11.804105484000168</v>
      </c>
      <c r="V51" s="68">
        <f t="shared" si="52"/>
        <v>12.768212687349804</v>
      </c>
      <c r="W51" s="68">
        <f t="shared" si="52"/>
        <v>4.2389355005480844</v>
      </c>
      <c r="X51" s="68">
        <f t="shared" si="52"/>
        <v>23.163010103977825</v>
      </c>
      <c r="Y51" s="68">
        <f t="shared" si="52"/>
        <v>27.97590436069185</v>
      </c>
      <c r="Z51" s="68">
        <f t="shared" si="52"/>
        <v>33.51658384206754</v>
      </c>
      <c r="AA51" s="68">
        <f t="shared" si="52"/>
        <v>19.087156336692104</v>
      </c>
      <c r="AB51" s="68">
        <f t="shared" si="52"/>
        <v>7.3851867210885782</v>
      </c>
      <c r="AC51" s="68">
        <f t="shared" si="52"/>
        <v>18.580827183639698</v>
      </c>
      <c r="AD51" s="68">
        <f t="shared" si="52"/>
        <v>2.6274560945339176</v>
      </c>
      <c r="AE51" s="68">
        <f t="shared" si="52"/>
        <v>6.0652060078418142</v>
      </c>
      <c r="AF51" s="68">
        <f t="shared" si="52"/>
        <v>8.0366896889097337</v>
      </c>
      <c r="AG51" s="68">
        <f t="shared" si="52"/>
        <v>4.9579095630085588</v>
      </c>
      <c r="AH51" s="68">
        <f t="shared" si="52"/>
        <v>38.032536709757998</v>
      </c>
      <c r="AI51" s="68">
        <f t="shared" si="52"/>
        <v>5.2971093327079553</v>
      </c>
      <c r="AJ51" s="68">
        <f t="shared" si="52"/>
        <v>76.059353387052582</v>
      </c>
      <c r="AK51" s="68">
        <f t="shared" si="52"/>
        <v>26.325110563261518</v>
      </c>
      <c r="AL51" s="68">
        <f t="shared" si="52"/>
        <v>2.0257585698701464</v>
      </c>
      <c r="AM51" s="68">
        <f t="shared" si="52"/>
        <v>37.57321143229057</v>
      </c>
      <c r="AN51" s="68">
        <f t="shared" si="52"/>
        <v>10.421103388633584</v>
      </c>
      <c r="AO51" s="68">
        <f t="shared" si="52"/>
        <v>11.467957056052111</v>
      </c>
      <c r="AP51" s="68">
        <f t="shared" si="52"/>
        <v>43.908725651903538</v>
      </c>
      <c r="AQ51" s="68">
        <f t="shared" si="52"/>
        <v>3.9022561013849657</v>
      </c>
      <c r="AR51" s="68">
        <f t="shared" si="52"/>
        <v>11.962612671276192</v>
      </c>
      <c r="AS51" s="68">
        <f t="shared" si="52"/>
        <v>2.5436408243391373</v>
      </c>
      <c r="AT51" s="68">
        <f t="shared" si="52"/>
        <v>18.509096415057549</v>
      </c>
      <c r="AU51" s="68">
        <f t="shared" si="52"/>
        <v>70.957480700862178</v>
      </c>
      <c r="AV51" s="68">
        <f t="shared" si="52"/>
        <v>6.6582216008263417</v>
      </c>
      <c r="AW51" s="68">
        <f t="shared" si="52"/>
        <v>2.1112430050803153</v>
      </c>
      <c r="AX51" s="68">
        <f t="shared" si="52"/>
        <v>28.371701629495341</v>
      </c>
      <c r="AY51" s="68">
        <f t="shared" si="52"/>
        <v>22.663525771533372</v>
      </c>
      <c r="AZ51" s="68">
        <f t="shared" si="52"/>
        <v>4.8014698495931531</v>
      </c>
      <c r="BA51" s="68">
        <f t="shared" si="52"/>
        <v>18.802999760740335</v>
      </c>
      <c r="BB51" s="68">
        <f t="shared" si="52"/>
        <v>1.800051618428264</v>
      </c>
      <c r="BE51" s="20" t="s">
        <v>230</v>
      </c>
    </row>
    <row r="52" spans="3:57" x14ac:dyDescent="0.2">
      <c r="C52" s="34" t="s">
        <v>217</v>
      </c>
      <c r="D52" s="46">
        <v>2004</v>
      </c>
      <c r="E52" s="68">
        <f>E40*$E$24</f>
        <v>14.050498640628108</v>
      </c>
      <c r="F52" s="68">
        <f t="shared" ref="F52:BB52" si="53">F40*$E$24</f>
        <v>2.5353229494885161</v>
      </c>
      <c r="G52" s="68">
        <f t="shared" si="53"/>
        <v>18.357517419535881</v>
      </c>
      <c r="H52" s="68">
        <f t="shared" si="53"/>
        <v>7.9491033110297327</v>
      </c>
      <c r="I52" s="68">
        <f t="shared" si="53"/>
        <v>142.00860758392704</v>
      </c>
      <c r="J52" s="68">
        <f t="shared" si="53"/>
        <v>17.910785897106233</v>
      </c>
      <c r="K52" s="68">
        <f t="shared" si="53"/>
        <v>17.539771035505311</v>
      </c>
      <c r="L52" s="68">
        <f t="shared" si="53"/>
        <v>3.3240970139712607</v>
      </c>
      <c r="M52" s="68">
        <f t="shared" si="53"/>
        <v>63.751136480714869</v>
      </c>
      <c r="N52" s="68">
        <f t="shared" si="53"/>
        <v>29.691598813835924</v>
      </c>
      <c r="O52" s="68">
        <f t="shared" si="53"/>
        <v>4.6281944857501083</v>
      </c>
      <c r="P52" s="68">
        <f t="shared" si="53"/>
        <v>4.3311806094415468</v>
      </c>
      <c r="Q52" s="68">
        <f t="shared" si="53"/>
        <v>48.949156267265046</v>
      </c>
      <c r="R52" s="68">
        <f t="shared" si="53"/>
        <v>20.650145078911752</v>
      </c>
      <c r="S52" s="68">
        <f t="shared" si="53"/>
        <v>10.236781869163712</v>
      </c>
      <c r="T52" s="68">
        <f t="shared" si="53"/>
        <v>9.3906328725868704</v>
      </c>
      <c r="U52" s="68">
        <f t="shared" si="53"/>
        <v>12.509862088325436</v>
      </c>
      <c r="V52" s="68">
        <f t="shared" si="53"/>
        <v>13.473225775365201</v>
      </c>
      <c r="W52" s="68">
        <f t="shared" si="53"/>
        <v>4.4770787902519595</v>
      </c>
      <c r="X52" s="68">
        <f t="shared" si="53"/>
        <v>24.935918578991359</v>
      </c>
      <c r="Y52" s="68">
        <f t="shared" si="53"/>
        <v>29.438483967340677</v>
      </c>
      <c r="Z52" s="68">
        <f t="shared" si="53"/>
        <v>34.705882724495474</v>
      </c>
      <c r="AA52" s="68">
        <f t="shared" si="53"/>
        <v>20.160570773335188</v>
      </c>
      <c r="AB52" s="68">
        <f t="shared" si="53"/>
        <v>7.8430956878159437</v>
      </c>
      <c r="AC52" s="68">
        <f t="shared" si="53"/>
        <v>19.586045761175018</v>
      </c>
      <c r="AD52" s="68">
        <f t="shared" si="53"/>
        <v>2.809927634060422</v>
      </c>
      <c r="AE52" s="68">
        <f t="shared" si="53"/>
        <v>6.3305378897225637</v>
      </c>
      <c r="AF52" s="68">
        <f t="shared" si="53"/>
        <v>8.9987928668948758</v>
      </c>
      <c r="AG52" s="68">
        <f t="shared" si="53"/>
        <v>5.2987815325996088</v>
      </c>
      <c r="AH52" s="68">
        <f t="shared" si="53"/>
        <v>40.003740605381516</v>
      </c>
      <c r="AI52" s="68">
        <f t="shared" si="53"/>
        <v>5.6195066959757973</v>
      </c>
      <c r="AJ52" s="68">
        <f t="shared" si="53"/>
        <v>80.881403262488547</v>
      </c>
      <c r="AK52" s="68">
        <f t="shared" si="53"/>
        <v>28.32989087662699</v>
      </c>
      <c r="AL52" s="68">
        <f t="shared" si="53"/>
        <v>2.0654250257333913</v>
      </c>
      <c r="AM52" s="68">
        <f t="shared" si="53"/>
        <v>39.090389929367504</v>
      </c>
      <c r="AN52" s="68">
        <f t="shared" si="53"/>
        <v>11.06448157821518</v>
      </c>
      <c r="AO52" s="68">
        <f t="shared" si="53"/>
        <v>12.118724062233808</v>
      </c>
      <c r="AP52" s="68">
        <f t="shared" si="53"/>
        <v>46.248116704473979</v>
      </c>
      <c r="AQ52" s="68">
        <f t="shared" si="53"/>
        <v>4.0958838813039833</v>
      </c>
      <c r="AR52" s="68">
        <f t="shared" si="53"/>
        <v>12.695011061457627</v>
      </c>
      <c r="AS52" s="68">
        <f t="shared" si="53"/>
        <v>2.6995882175496551</v>
      </c>
      <c r="AT52" s="68">
        <f t="shared" si="53"/>
        <v>19.636716052043941</v>
      </c>
      <c r="AU52" s="68">
        <f t="shared" si="53"/>
        <v>74.803414165605218</v>
      </c>
      <c r="AV52" s="68">
        <f t="shared" si="53"/>
        <v>7.1083423544162709</v>
      </c>
      <c r="AW52" s="68">
        <f t="shared" si="53"/>
        <v>2.2475905049755203</v>
      </c>
      <c r="AX52" s="68">
        <f t="shared" si="53"/>
        <v>30.316533010110252</v>
      </c>
      <c r="AY52" s="68">
        <f t="shared" si="53"/>
        <v>24.375026348067504</v>
      </c>
      <c r="AZ52" s="68">
        <f t="shared" si="53"/>
        <v>4.9796612624288485</v>
      </c>
      <c r="BA52" s="68">
        <f t="shared" si="53"/>
        <v>19.787684109401741</v>
      </c>
      <c r="BB52" s="68">
        <f t="shared" si="53"/>
        <v>1.9515850594873219</v>
      </c>
      <c r="BE52" s="20" t="s">
        <v>230</v>
      </c>
    </row>
    <row r="53" spans="3:57" x14ac:dyDescent="0.2">
      <c r="C53" s="34" t="s">
        <v>217</v>
      </c>
      <c r="D53" s="46">
        <v>2005</v>
      </c>
      <c r="E53" s="68">
        <f>E41*$F$24</f>
        <v>14.655549968992396</v>
      </c>
      <c r="F53" s="68">
        <f t="shared" ref="F53:BB53" si="54">F41*$F$24</f>
        <v>2.6532262921877803</v>
      </c>
      <c r="G53" s="68">
        <f t="shared" si="54"/>
        <v>20.110235679745156</v>
      </c>
      <c r="H53" s="68">
        <f t="shared" si="54"/>
        <v>8.2673660296127363</v>
      </c>
      <c r="I53" s="68">
        <f t="shared" si="54"/>
        <v>148.32442827049189</v>
      </c>
      <c r="J53" s="68">
        <f t="shared" si="54"/>
        <v>18.89932958231153</v>
      </c>
      <c r="K53" s="68">
        <f t="shared" si="54"/>
        <v>18.218508771288281</v>
      </c>
      <c r="L53" s="68">
        <f t="shared" si="54"/>
        <v>3.4480879402844411</v>
      </c>
      <c r="M53" s="68">
        <f t="shared" si="54"/>
        <v>68.755686125067172</v>
      </c>
      <c r="N53" s="68">
        <f t="shared" si="54"/>
        <v>31.293987020385856</v>
      </c>
      <c r="O53" s="68">
        <f t="shared" si="54"/>
        <v>4.9007559846564197</v>
      </c>
      <c r="P53" s="68">
        <f t="shared" si="54"/>
        <v>4.5477896060997338</v>
      </c>
      <c r="Q53" s="68">
        <f t="shared" si="54"/>
        <v>50.506784821541338</v>
      </c>
      <c r="R53" s="68">
        <f t="shared" si="54"/>
        <v>20.998270150250232</v>
      </c>
      <c r="S53" s="68">
        <f t="shared" si="54"/>
        <v>10.392765302394844</v>
      </c>
      <c r="T53" s="68">
        <f t="shared" si="54"/>
        <v>9.7466935656107747</v>
      </c>
      <c r="U53" s="68">
        <f t="shared" si="54"/>
        <v>12.972272992921974</v>
      </c>
      <c r="V53" s="68">
        <f t="shared" si="54"/>
        <v>14.280219661121743</v>
      </c>
      <c r="W53" s="68">
        <f t="shared" si="54"/>
        <v>4.5190272713118391</v>
      </c>
      <c r="X53" s="68">
        <f t="shared" si="54"/>
        <v>26.034614262141506</v>
      </c>
      <c r="Y53" s="68">
        <f t="shared" si="54"/>
        <v>30.370709476414429</v>
      </c>
      <c r="Z53" s="68">
        <f t="shared" si="54"/>
        <v>35.18705321033336</v>
      </c>
      <c r="AA53" s="68">
        <f t="shared" si="54"/>
        <v>20.527487505687873</v>
      </c>
      <c r="AB53" s="68">
        <f t="shared" si="54"/>
        <v>8.2794786781900616</v>
      </c>
      <c r="AC53" s="68">
        <f t="shared" si="54"/>
        <v>20.116164520362293</v>
      </c>
      <c r="AD53" s="68">
        <f t="shared" si="54"/>
        <v>2.945387421354722</v>
      </c>
      <c r="AE53" s="68">
        <f t="shared" si="54"/>
        <v>6.4899119785114472</v>
      </c>
      <c r="AF53" s="68">
        <f t="shared" si="54"/>
        <v>9.9744517499410961</v>
      </c>
      <c r="AG53" s="68">
        <f t="shared" si="54"/>
        <v>5.4188551500334592</v>
      </c>
      <c r="AH53" s="68">
        <f t="shared" si="54"/>
        <v>41.164195690828727</v>
      </c>
      <c r="AI53" s="68">
        <f t="shared" si="54"/>
        <v>5.9724826335918877</v>
      </c>
      <c r="AJ53" s="68">
        <f t="shared" si="54"/>
        <v>84.358271495056698</v>
      </c>
      <c r="AK53" s="68">
        <f t="shared" si="54"/>
        <v>29.873572344910137</v>
      </c>
      <c r="AL53" s="68">
        <f t="shared" si="54"/>
        <v>2.1672852016625357</v>
      </c>
      <c r="AM53" s="68">
        <f t="shared" si="54"/>
        <v>39.87917472998879</v>
      </c>
      <c r="AN53" s="68">
        <f t="shared" si="54"/>
        <v>11.750139727246166</v>
      </c>
      <c r="AO53" s="68">
        <f t="shared" si="54"/>
        <v>12.491204753268052</v>
      </c>
      <c r="AP53" s="68">
        <f t="shared" si="54"/>
        <v>47.516799999849212</v>
      </c>
      <c r="AQ53" s="68">
        <f t="shared" si="54"/>
        <v>4.1424627090280204</v>
      </c>
      <c r="AR53" s="68">
        <f t="shared" si="54"/>
        <v>13.316456065219647</v>
      </c>
      <c r="AS53" s="68">
        <f t="shared" si="54"/>
        <v>2.7551810397820988</v>
      </c>
      <c r="AT53" s="68">
        <f t="shared" si="54"/>
        <v>20.187798020338729</v>
      </c>
      <c r="AU53" s="68">
        <f t="shared" si="54"/>
        <v>80.371088041167553</v>
      </c>
      <c r="AV53" s="68">
        <f t="shared" si="54"/>
        <v>7.6855877079441681</v>
      </c>
      <c r="AW53" s="68">
        <f t="shared" si="54"/>
        <v>2.2787978250567846</v>
      </c>
      <c r="AX53" s="68">
        <f t="shared" si="54"/>
        <v>32.05733725455454</v>
      </c>
      <c r="AY53" s="68">
        <f t="shared" si="54"/>
        <v>25.02838213698011</v>
      </c>
      <c r="AZ53" s="68">
        <f t="shared" si="54"/>
        <v>5.1036753566628654</v>
      </c>
      <c r="BA53" s="68">
        <f t="shared" si="54"/>
        <v>20.248866948455749</v>
      </c>
      <c r="BB53" s="68">
        <f t="shared" si="54"/>
        <v>2.1415653709320193</v>
      </c>
      <c r="BE53" s="20" t="s">
        <v>230</v>
      </c>
    </row>
    <row r="54" spans="3:57" x14ac:dyDescent="0.2">
      <c r="C54" s="34" t="s">
        <v>217</v>
      </c>
      <c r="D54" s="46">
        <v>2006</v>
      </c>
      <c r="E54" s="68">
        <f>E42*$G$24</f>
        <v>14.850306085155138</v>
      </c>
      <c r="F54" s="68">
        <f t="shared" ref="F54:BB54" si="55">F42*$G$24</f>
        <v>2.6879635599483751</v>
      </c>
      <c r="G54" s="68">
        <f t="shared" si="55"/>
        <v>21.307298358461079</v>
      </c>
      <c r="H54" s="68">
        <f t="shared" si="55"/>
        <v>8.4448504879541346</v>
      </c>
      <c r="I54" s="68">
        <f t="shared" si="55"/>
        <v>152.1989761719872</v>
      </c>
      <c r="J54" s="68">
        <f t="shared" si="55"/>
        <v>19.465714128597515</v>
      </c>
      <c r="K54" s="68">
        <f t="shared" si="55"/>
        <v>18.773630268722894</v>
      </c>
      <c r="L54" s="68">
        <f t="shared" si="55"/>
        <v>3.5192774955310893</v>
      </c>
      <c r="M54" s="68">
        <f t="shared" si="55"/>
        <v>71.385874626727428</v>
      </c>
      <c r="N54" s="68">
        <f t="shared" si="55"/>
        <v>31.978299289504641</v>
      </c>
      <c r="O54" s="68">
        <f t="shared" si="55"/>
        <v>5.0353162147886703</v>
      </c>
      <c r="P54" s="68">
        <f t="shared" si="55"/>
        <v>4.7731425401587382</v>
      </c>
      <c r="Q54" s="68">
        <f t="shared" si="55"/>
        <v>51.584641292990213</v>
      </c>
      <c r="R54" s="68">
        <f t="shared" si="55"/>
        <v>21.268009959841262</v>
      </c>
      <c r="S54" s="68">
        <f t="shared" si="55"/>
        <v>10.462077913852745</v>
      </c>
      <c r="T54" s="68">
        <f t="shared" si="55"/>
        <v>10.088550162671863</v>
      </c>
      <c r="U54" s="68">
        <f t="shared" si="55"/>
        <v>13.133342386916365</v>
      </c>
      <c r="V54" s="68">
        <f t="shared" si="55"/>
        <v>14.49019714520009</v>
      </c>
      <c r="W54" s="68">
        <f t="shared" si="55"/>
        <v>4.5818379234227118</v>
      </c>
      <c r="X54" s="68">
        <f t="shared" si="55"/>
        <v>26.499098754789372</v>
      </c>
      <c r="Y54" s="68">
        <f t="shared" si="55"/>
        <v>31.226033734560747</v>
      </c>
      <c r="Z54" s="68">
        <f t="shared" si="55"/>
        <v>34.482660795404662</v>
      </c>
      <c r="AA54" s="68">
        <f t="shared" si="55"/>
        <v>20.745344110923806</v>
      </c>
      <c r="AB54" s="68">
        <f t="shared" si="55"/>
        <v>8.2596681321533296</v>
      </c>
      <c r="AC54" s="68">
        <f t="shared" si="55"/>
        <v>20.406241744876997</v>
      </c>
      <c r="AD54" s="68">
        <f t="shared" si="55"/>
        <v>3.0425192653426749</v>
      </c>
      <c r="AE54" s="68">
        <f t="shared" si="55"/>
        <v>6.475621137113909</v>
      </c>
      <c r="AF54" s="68">
        <f t="shared" si="55"/>
        <v>10.207537069281285</v>
      </c>
      <c r="AG54" s="68">
        <f t="shared" si="55"/>
        <v>5.5331012180020718</v>
      </c>
      <c r="AH54" s="68">
        <f t="shared" si="55"/>
        <v>42.28728129677431</v>
      </c>
      <c r="AI54" s="68">
        <f t="shared" si="55"/>
        <v>6.0963142054733179</v>
      </c>
      <c r="AJ54" s="68">
        <f t="shared" si="55"/>
        <v>86.895539262032685</v>
      </c>
      <c r="AK54" s="68">
        <f t="shared" si="55"/>
        <v>30.60300334664349</v>
      </c>
      <c r="AL54" s="68">
        <f t="shared" si="55"/>
        <v>2.165480416609598</v>
      </c>
      <c r="AM54" s="68">
        <f t="shared" si="55"/>
        <v>40.102477633654672</v>
      </c>
      <c r="AN54" s="68">
        <f t="shared" si="55"/>
        <v>12.310970163857135</v>
      </c>
      <c r="AO54" s="68">
        <f t="shared" si="55"/>
        <v>12.908489777836309</v>
      </c>
      <c r="AP54" s="68">
        <f t="shared" si="55"/>
        <v>48.399166788196453</v>
      </c>
      <c r="AQ54" s="68">
        <f t="shared" si="55"/>
        <v>4.1877752832358777</v>
      </c>
      <c r="AR54" s="68">
        <f t="shared" si="55"/>
        <v>13.761289483458883</v>
      </c>
      <c r="AS54" s="68">
        <f t="shared" si="55"/>
        <v>2.6953894251874484</v>
      </c>
      <c r="AT54" s="68">
        <f t="shared" si="55"/>
        <v>20.462439443300145</v>
      </c>
      <c r="AU54" s="68">
        <f t="shared" si="55"/>
        <v>84.111445770882725</v>
      </c>
      <c r="AV54" s="68">
        <f t="shared" si="55"/>
        <v>8.1483615590528355</v>
      </c>
      <c r="AW54" s="68">
        <f t="shared" si="55"/>
        <v>2.3247003096805914</v>
      </c>
      <c r="AX54" s="68">
        <f t="shared" si="55"/>
        <v>32.772274802507503</v>
      </c>
      <c r="AY54" s="68">
        <f t="shared" si="55"/>
        <v>25.95610853429384</v>
      </c>
      <c r="AZ54" s="68">
        <f t="shared" si="55"/>
        <v>5.2379615697992943</v>
      </c>
      <c r="BA54" s="68">
        <f t="shared" si="55"/>
        <v>20.54330899254596</v>
      </c>
      <c r="BB54" s="68">
        <f t="shared" si="55"/>
        <v>2.3541615842420409</v>
      </c>
      <c r="BE54" s="20" t="s">
        <v>230</v>
      </c>
    </row>
    <row r="55" spans="3:57" x14ac:dyDescent="0.2">
      <c r="C55" s="34" t="s">
        <v>217</v>
      </c>
      <c r="D55" s="46">
        <v>2007</v>
      </c>
      <c r="E55" s="68">
        <f>E43*$H$24</f>
        <v>15.119335874821809</v>
      </c>
      <c r="F55" s="68">
        <f t="shared" ref="F55:BB55" si="56">F43*$H$24</f>
        <v>2.8099422619772079</v>
      </c>
      <c r="G55" s="68">
        <f t="shared" si="56"/>
        <v>21.843410354743778</v>
      </c>
      <c r="H55" s="68">
        <f t="shared" si="56"/>
        <v>8.7721980792617344</v>
      </c>
      <c r="I55" s="68">
        <f t="shared" si="56"/>
        <v>154.49172678714871</v>
      </c>
      <c r="J55" s="68">
        <f t="shared" si="56"/>
        <v>20.018809261902177</v>
      </c>
      <c r="K55" s="68">
        <f t="shared" si="56"/>
        <v>19.395355853047338</v>
      </c>
      <c r="L55" s="68">
        <f t="shared" si="56"/>
        <v>3.5321149379694381</v>
      </c>
      <c r="M55" s="68">
        <f t="shared" si="56"/>
        <v>72.261438108672266</v>
      </c>
      <c r="N55" s="68">
        <f t="shared" si="56"/>
        <v>32.822631690239</v>
      </c>
      <c r="O55" s="68">
        <f t="shared" si="56"/>
        <v>5.2026512744233342</v>
      </c>
      <c r="P55" s="68">
        <f t="shared" si="56"/>
        <v>4.9105376658302546</v>
      </c>
      <c r="Q55" s="68">
        <f t="shared" si="56"/>
        <v>52.996493920321441</v>
      </c>
      <c r="R55" s="68">
        <f t="shared" si="56"/>
        <v>21.429737116716819</v>
      </c>
      <c r="S55" s="68">
        <f t="shared" si="56"/>
        <v>10.910561798227697</v>
      </c>
      <c r="T55" s="68">
        <f t="shared" si="56"/>
        <v>10.435210200555197</v>
      </c>
      <c r="U55" s="68">
        <f t="shared" si="56"/>
        <v>13.321504587210415</v>
      </c>
      <c r="V55" s="68">
        <f t="shared" si="56"/>
        <v>15.469805330243334</v>
      </c>
      <c r="W55" s="68">
        <f t="shared" si="56"/>
        <v>4.6534279073834783</v>
      </c>
      <c r="X55" s="68">
        <f t="shared" si="56"/>
        <v>26.949568430804366</v>
      </c>
      <c r="Y55" s="68">
        <f t="shared" si="56"/>
        <v>31.919681630067437</v>
      </c>
      <c r="Z55" s="68">
        <f t="shared" si="56"/>
        <v>34.423027801145402</v>
      </c>
      <c r="AA55" s="68">
        <f t="shared" si="56"/>
        <v>21.385480791733702</v>
      </c>
      <c r="AB55" s="68">
        <f t="shared" si="56"/>
        <v>8.5281255668281126</v>
      </c>
      <c r="AC55" s="68">
        <f t="shared" si="56"/>
        <v>20.827756156722824</v>
      </c>
      <c r="AD55" s="68">
        <f t="shared" si="56"/>
        <v>3.1780792496644623</v>
      </c>
      <c r="AE55" s="68">
        <f t="shared" si="56"/>
        <v>6.7705199404119796</v>
      </c>
      <c r="AF55" s="68">
        <f t="shared" si="56"/>
        <v>10.494990545745559</v>
      </c>
      <c r="AG55" s="68">
        <f t="shared" si="56"/>
        <v>5.6238383586451803</v>
      </c>
      <c r="AH55" s="68">
        <f t="shared" si="56"/>
        <v>43.392670537309201</v>
      </c>
      <c r="AI55" s="68">
        <f t="shared" si="56"/>
        <v>6.2815584335720285</v>
      </c>
      <c r="AJ55" s="68">
        <f t="shared" si="56"/>
        <v>91.24382492458129</v>
      </c>
      <c r="AK55" s="68">
        <f t="shared" si="56"/>
        <v>31.585853278074641</v>
      </c>
      <c r="AL55" s="68">
        <f t="shared" si="56"/>
        <v>2.3290062357177983</v>
      </c>
      <c r="AM55" s="68">
        <f t="shared" si="56"/>
        <v>40.42395551482614</v>
      </c>
      <c r="AN55" s="68">
        <f t="shared" si="56"/>
        <v>12.431761231574646</v>
      </c>
      <c r="AO55" s="68">
        <f t="shared" si="56"/>
        <v>13.158295094475518</v>
      </c>
      <c r="AP55" s="68">
        <f t="shared" si="56"/>
        <v>49.53314951692689</v>
      </c>
      <c r="AQ55" s="68">
        <f t="shared" si="56"/>
        <v>4.2587692783747499</v>
      </c>
      <c r="AR55" s="68">
        <f t="shared" si="56"/>
        <v>14.197338617454585</v>
      </c>
      <c r="AS55" s="68">
        <f t="shared" si="56"/>
        <v>2.906774081129071</v>
      </c>
      <c r="AT55" s="68">
        <f t="shared" si="56"/>
        <v>20.835355719699557</v>
      </c>
      <c r="AU55" s="68">
        <f t="shared" si="56"/>
        <v>86.770401864067949</v>
      </c>
      <c r="AV55" s="68">
        <f t="shared" si="56"/>
        <v>8.6296939294413821</v>
      </c>
      <c r="AW55" s="68">
        <f t="shared" si="56"/>
        <v>2.3812408378002115</v>
      </c>
      <c r="AX55" s="68">
        <f t="shared" si="56"/>
        <v>33.61862695707628</v>
      </c>
      <c r="AY55" s="68">
        <f t="shared" si="56"/>
        <v>27.33915949947064</v>
      </c>
      <c r="AZ55" s="68">
        <f t="shared" si="56"/>
        <v>5.2883635136757334</v>
      </c>
      <c r="BA55" s="68">
        <f t="shared" si="56"/>
        <v>20.87597767288278</v>
      </c>
      <c r="BB55" s="68">
        <f t="shared" si="56"/>
        <v>2.4183395152429616</v>
      </c>
      <c r="BE55" s="20" t="s">
        <v>230</v>
      </c>
    </row>
    <row r="56" spans="3:57" x14ac:dyDescent="0.2">
      <c r="C56" s="34" t="s">
        <v>217</v>
      </c>
      <c r="D56" s="46">
        <v>2008</v>
      </c>
      <c r="E56" s="68">
        <f>E44*$I$24</f>
        <v>14.1003579475327</v>
      </c>
      <c r="F56" s="68">
        <f t="shared" ref="F56:BB56" si="57">F44*$I$24</f>
        <v>2.7520730359355134</v>
      </c>
      <c r="G56" s="68">
        <f t="shared" si="57"/>
        <v>19.922002883111027</v>
      </c>
      <c r="H56" s="68">
        <f t="shared" si="57"/>
        <v>8.2533958307804927</v>
      </c>
      <c r="I56" s="68">
        <f t="shared" si="57"/>
        <v>141.55242185116566</v>
      </c>
      <c r="J56" s="68">
        <f t="shared" si="57"/>
        <v>18.82094044998632</v>
      </c>
      <c r="K56" s="68">
        <f t="shared" si="57"/>
        <v>17.644978085949187</v>
      </c>
      <c r="L56" s="68">
        <f t="shared" si="57"/>
        <v>3.2519167730278502</v>
      </c>
      <c r="M56" s="68">
        <f t="shared" si="57"/>
        <v>65.283368203932227</v>
      </c>
      <c r="N56" s="68">
        <f t="shared" si="57"/>
        <v>30.141126581259144</v>
      </c>
      <c r="O56" s="68">
        <f t="shared" si="57"/>
        <v>4.8969723168310448</v>
      </c>
      <c r="P56" s="68">
        <f t="shared" si="57"/>
        <v>4.462190049080494</v>
      </c>
      <c r="Q56" s="68">
        <f t="shared" si="57"/>
        <v>48.987975417518051</v>
      </c>
      <c r="R56" s="68">
        <f t="shared" si="57"/>
        <v>19.921251173853229</v>
      </c>
      <c r="S56" s="68">
        <f t="shared" si="57"/>
        <v>10.550771136493811</v>
      </c>
      <c r="T56" s="68">
        <f t="shared" si="57"/>
        <v>10.109418484674915</v>
      </c>
      <c r="U56" s="68">
        <f t="shared" si="57"/>
        <v>12.491879705412449</v>
      </c>
      <c r="V56" s="68">
        <f t="shared" si="57"/>
        <v>14.867510188373851</v>
      </c>
      <c r="W56" s="68">
        <f t="shared" si="57"/>
        <v>4.3248721789294162</v>
      </c>
      <c r="X56" s="68">
        <f t="shared" si="57"/>
        <v>25.100059837739124</v>
      </c>
      <c r="Y56" s="68">
        <f t="shared" si="57"/>
        <v>29.551040134466554</v>
      </c>
      <c r="Z56" s="68">
        <f t="shared" si="57"/>
        <v>31.398262283244573</v>
      </c>
      <c r="AA56" s="68">
        <f t="shared" si="57"/>
        <v>20.038935394912553</v>
      </c>
      <c r="AB56" s="68">
        <f t="shared" si="57"/>
        <v>8.014292341600564</v>
      </c>
      <c r="AC56" s="68">
        <f t="shared" si="57"/>
        <v>19.63748460910173</v>
      </c>
      <c r="AD56" s="68">
        <f t="shared" si="57"/>
        <v>3.0044442777581128</v>
      </c>
      <c r="AE56" s="68">
        <f t="shared" si="57"/>
        <v>6.4544911978504649</v>
      </c>
      <c r="AF56" s="68">
        <f t="shared" si="57"/>
        <v>9.3974807386771353</v>
      </c>
      <c r="AG56" s="68">
        <f t="shared" si="57"/>
        <v>5.1786844283461777</v>
      </c>
      <c r="AH56" s="68">
        <f t="shared" si="57"/>
        <v>40.037752553569412</v>
      </c>
      <c r="AI56" s="68">
        <f t="shared" si="57"/>
        <v>5.9550006585844599</v>
      </c>
      <c r="AJ56" s="68">
        <f t="shared" si="57"/>
        <v>83.829543091467812</v>
      </c>
      <c r="AK56" s="68">
        <f t="shared" si="57"/>
        <v>29.495261658158089</v>
      </c>
      <c r="AL56" s="68">
        <f t="shared" si="57"/>
        <v>2.383752702822068</v>
      </c>
      <c r="AM56" s="68">
        <f t="shared" si="57"/>
        <v>37.155759559071967</v>
      </c>
      <c r="AN56" s="68">
        <f t="shared" si="57"/>
        <v>12.24486229707335</v>
      </c>
      <c r="AO56" s="68">
        <f t="shared" si="57"/>
        <v>12.288996684359564</v>
      </c>
      <c r="AP56" s="68">
        <f t="shared" si="57"/>
        <v>46.071162597541544</v>
      </c>
      <c r="AQ56" s="68">
        <f t="shared" si="57"/>
        <v>3.9145166933132747</v>
      </c>
      <c r="AR56" s="68">
        <f t="shared" si="57"/>
        <v>13.316148637073029</v>
      </c>
      <c r="AS56" s="68">
        <f t="shared" si="57"/>
        <v>2.8599173766028994</v>
      </c>
      <c r="AT56" s="68">
        <f t="shared" si="57"/>
        <v>19.423819521640144</v>
      </c>
      <c r="AU56" s="68">
        <f t="shared" si="57"/>
        <v>85.479428214285704</v>
      </c>
      <c r="AV56" s="68">
        <f t="shared" si="57"/>
        <v>8.0916001896046854</v>
      </c>
      <c r="AW56" s="68">
        <f t="shared" si="57"/>
        <v>2.2220784595433845</v>
      </c>
      <c r="AX56" s="68">
        <f t="shared" si="57"/>
        <v>31.189341556843594</v>
      </c>
      <c r="AY56" s="68">
        <f t="shared" si="57"/>
        <v>25.698491525364819</v>
      </c>
      <c r="AZ56" s="68">
        <f t="shared" si="57"/>
        <v>5.053994865815004</v>
      </c>
      <c r="BA56" s="68">
        <f t="shared" si="57"/>
        <v>19.376281293388892</v>
      </c>
      <c r="BB56" s="68">
        <f t="shared" si="57"/>
        <v>2.3758837425627077</v>
      </c>
      <c r="BE56" s="20" t="s">
        <v>230</v>
      </c>
    </row>
    <row r="57" spans="3:57" x14ac:dyDescent="0.2">
      <c r="C57" s="34" t="s">
        <v>217</v>
      </c>
      <c r="D57" s="46">
        <v>2009</v>
      </c>
      <c r="E57" s="68">
        <f>E45*$J$24</f>
        <v>13.2698919454565</v>
      </c>
      <c r="F57" s="68">
        <f t="shared" ref="F57:BB57" si="58">F45*$J$24</f>
        <v>2.6207818192118917</v>
      </c>
      <c r="G57" s="68">
        <f t="shared" si="58"/>
        <v>18.250749579832974</v>
      </c>
      <c r="H57" s="68">
        <f t="shared" si="58"/>
        <v>7.7602586185348565</v>
      </c>
      <c r="I57" s="68">
        <f t="shared" si="58"/>
        <v>130.1287375467013</v>
      </c>
      <c r="J57" s="68">
        <f t="shared" si="58"/>
        <v>17.483077916785987</v>
      </c>
      <c r="K57" s="68">
        <f t="shared" si="58"/>
        <v>16.203335655680718</v>
      </c>
      <c r="L57" s="68">
        <f t="shared" si="58"/>
        <v>3.0845435203151768</v>
      </c>
      <c r="M57" s="68">
        <f t="shared" si="58"/>
        <v>58.989318599399105</v>
      </c>
      <c r="N57" s="68">
        <f t="shared" si="58"/>
        <v>27.973847780501728</v>
      </c>
      <c r="O57" s="68">
        <f t="shared" si="58"/>
        <v>4.7146923251255988</v>
      </c>
      <c r="P57" s="68">
        <f t="shared" si="58"/>
        <v>4.1640833924566092</v>
      </c>
      <c r="Q57" s="68">
        <f t="shared" si="58"/>
        <v>45.026287490750775</v>
      </c>
      <c r="R57" s="68">
        <f t="shared" si="58"/>
        <v>18.425102804884911</v>
      </c>
      <c r="S57" s="68">
        <f t="shared" si="58"/>
        <v>9.944222759818242</v>
      </c>
      <c r="T57" s="68">
        <f t="shared" si="58"/>
        <v>9.2937086604977601</v>
      </c>
      <c r="U57" s="68">
        <f t="shared" si="58"/>
        <v>11.806258470911512</v>
      </c>
      <c r="V57" s="68">
        <f t="shared" si="58"/>
        <v>13.838935455566498</v>
      </c>
      <c r="W57" s="68">
        <f t="shared" si="58"/>
        <v>4.1449070514645623</v>
      </c>
      <c r="X57" s="68">
        <f t="shared" si="58"/>
        <v>23.897083797253789</v>
      </c>
      <c r="Y57" s="68">
        <f t="shared" si="58"/>
        <v>27.768573822522573</v>
      </c>
      <c r="Z57" s="68">
        <f t="shared" si="58"/>
        <v>28.65432631539219</v>
      </c>
      <c r="AA57" s="68">
        <f t="shared" si="58"/>
        <v>18.429344611681742</v>
      </c>
      <c r="AB57" s="68">
        <f t="shared" si="58"/>
        <v>7.5803502976221004</v>
      </c>
      <c r="AC57" s="68">
        <f t="shared" si="58"/>
        <v>18.338763831262778</v>
      </c>
      <c r="AD57" s="68">
        <f t="shared" si="58"/>
        <v>2.8044469802517771</v>
      </c>
      <c r="AE57" s="68">
        <f t="shared" si="58"/>
        <v>6.0531563765156715</v>
      </c>
      <c r="AF57" s="68">
        <f t="shared" si="58"/>
        <v>8.3764963475803036</v>
      </c>
      <c r="AG57" s="68">
        <f t="shared" si="58"/>
        <v>4.8809052923084559</v>
      </c>
      <c r="AH57" s="68">
        <f t="shared" si="58"/>
        <v>37.302407894000211</v>
      </c>
      <c r="AI57" s="68">
        <f t="shared" si="58"/>
        <v>5.6050177843586786</v>
      </c>
      <c r="AJ57" s="68">
        <f t="shared" si="58"/>
        <v>78.297073447471874</v>
      </c>
      <c r="AK57" s="68">
        <f t="shared" si="58"/>
        <v>27.959118802385344</v>
      </c>
      <c r="AL57" s="68">
        <f t="shared" si="58"/>
        <v>2.2530703671960999</v>
      </c>
      <c r="AM57" s="68">
        <f t="shared" si="58"/>
        <v>34.674515968788533</v>
      </c>
      <c r="AN57" s="68">
        <f t="shared" si="58"/>
        <v>10.905463541727016</v>
      </c>
      <c r="AO57" s="68">
        <f t="shared" si="58"/>
        <v>11.490393479221327</v>
      </c>
      <c r="AP57" s="68">
        <f t="shared" si="58"/>
        <v>43.590986538085261</v>
      </c>
      <c r="AQ57" s="68">
        <f t="shared" si="58"/>
        <v>3.6817751464066677</v>
      </c>
      <c r="AR57" s="68">
        <f t="shared" si="58"/>
        <v>12.586009835541834</v>
      </c>
      <c r="AS57" s="68">
        <f t="shared" si="58"/>
        <v>2.6768169822299104</v>
      </c>
      <c r="AT57" s="68">
        <f t="shared" si="58"/>
        <v>18.378974140555034</v>
      </c>
      <c r="AU57" s="68">
        <f t="shared" si="58"/>
        <v>77.577242484427359</v>
      </c>
      <c r="AV57" s="68">
        <f t="shared" si="58"/>
        <v>7.4760913566681282</v>
      </c>
      <c r="AW57" s="68">
        <f t="shared" si="58"/>
        <v>2.0917487369165952</v>
      </c>
      <c r="AX57" s="68">
        <f t="shared" si="58"/>
        <v>29.578911883356366</v>
      </c>
      <c r="AY57" s="68">
        <f t="shared" si="58"/>
        <v>23.78064707727961</v>
      </c>
      <c r="AZ57" s="68">
        <f t="shared" si="58"/>
        <v>4.8867658849868816</v>
      </c>
      <c r="BA57" s="68">
        <f t="shared" si="58"/>
        <v>18.420874718765777</v>
      </c>
      <c r="BB57" s="68">
        <f t="shared" si="58"/>
        <v>2.0604600018622587</v>
      </c>
      <c r="BE57" s="20" t="s">
        <v>230</v>
      </c>
    </row>
    <row r="58" spans="3:57" x14ac:dyDescent="0.2">
      <c r="C58" s="34" t="s">
        <v>217</v>
      </c>
      <c r="D58" s="46">
        <v>2010</v>
      </c>
      <c r="E58" s="68">
        <f>E46*$K$24</f>
        <v>13.968238011057322</v>
      </c>
      <c r="F58" s="68">
        <f t="shared" ref="F58:BB58" si="59">F46*$K$24</f>
        <v>2.8112107088426406</v>
      </c>
      <c r="G58" s="68">
        <f t="shared" si="59"/>
        <v>18.749537236514087</v>
      </c>
      <c r="H58" s="68">
        <f t="shared" si="59"/>
        <v>8.0663315361071799</v>
      </c>
      <c r="I58" s="68">
        <f t="shared" si="59"/>
        <v>135.96840179820992</v>
      </c>
      <c r="J58" s="68">
        <f t="shared" si="59"/>
        <v>18.133816543449242</v>
      </c>
      <c r="K58" s="68">
        <f t="shared" si="59"/>
        <v>17.034433093854542</v>
      </c>
      <c r="L58" s="68">
        <f t="shared" si="59"/>
        <v>3.1821403413053266</v>
      </c>
      <c r="M58" s="68">
        <f t="shared" si="59"/>
        <v>62.46176993056806</v>
      </c>
      <c r="N58" s="68">
        <f t="shared" si="59"/>
        <v>28.726557943965513</v>
      </c>
      <c r="O58" s="68">
        <f t="shared" si="59"/>
        <v>4.8929589975714105</v>
      </c>
      <c r="P58" s="68">
        <f t="shared" si="59"/>
        <v>4.3382835823870947</v>
      </c>
      <c r="Q58" s="68">
        <f t="shared" si="59"/>
        <v>46.514502362189589</v>
      </c>
      <c r="R58" s="68">
        <f t="shared" si="59"/>
        <v>19.214436912337558</v>
      </c>
      <c r="S58" s="68">
        <f t="shared" si="59"/>
        <v>10.253046086005854</v>
      </c>
      <c r="T58" s="68">
        <f t="shared" si="59"/>
        <v>9.5474321238661215</v>
      </c>
      <c r="U58" s="68">
        <f t="shared" si="59"/>
        <v>12.330800947527985</v>
      </c>
      <c r="V58" s="68">
        <f t="shared" si="59"/>
        <v>14.561345901038987</v>
      </c>
      <c r="W58" s="68">
        <f t="shared" si="59"/>
        <v>4.250031768600425</v>
      </c>
      <c r="X58" s="68">
        <f t="shared" si="59"/>
        <v>24.939814359519747</v>
      </c>
      <c r="Y58" s="68">
        <f t="shared" si="59"/>
        <v>29.09670636976486</v>
      </c>
      <c r="Z58" s="68">
        <f t="shared" si="59"/>
        <v>29.861860798933673</v>
      </c>
      <c r="AA58" s="68">
        <f t="shared" si="59"/>
        <v>19.48667327067518</v>
      </c>
      <c r="AB58" s="68">
        <f t="shared" si="59"/>
        <v>7.8859705230474777</v>
      </c>
      <c r="AC58" s="68">
        <f t="shared" si="59"/>
        <v>18.898085323798572</v>
      </c>
      <c r="AD58" s="68">
        <f t="shared" si="59"/>
        <v>2.9506250583504889</v>
      </c>
      <c r="AE58" s="68">
        <f t="shared" si="59"/>
        <v>6.2914217311663663</v>
      </c>
      <c r="AF58" s="68">
        <f t="shared" si="59"/>
        <v>8.5418873254390757</v>
      </c>
      <c r="AG58" s="68">
        <f t="shared" si="59"/>
        <v>5.096800725448726</v>
      </c>
      <c r="AH58" s="68">
        <f t="shared" si="59"/>
        <v>38.665115007567231</v>
      </c>
      <c r="AI58" s="68">
        <f t="shared" si="59"/>
        <v>5.8970749274237653</v>
      </c>
      <c r="AJ58" s="68">
        <f t="shared" si="59"/>
        <v>82.729424793031072</v>
      </c>
      <c r="AK58" s="68">
        <f t="shared" si="59"/>
        <v>29.187619176820636</v>
      </c>
      <c r="AL58" s="68">
        <f t="shared" si="59"/>
        <v>2.5102084148546062</v>
      </c>
      <c r="AM58" s="68">
        <f t="shared" si="59"/>
        <v>36.036854237382592</v>
      </c>
      <c r="AN58" s="68">
        <f t="shared" si="59"/>
        <v>11.629206587710692</v>
      </c>
      <c r="AO58" s="68">
        <f t="shared" si="59"/>
        <v>11.853854605169197</v>
      </c>
      <c r="AP58" s="68">
        <f t="shared" si="59"/>
        <v>45.61769553857598</v>
      </c>
      <c r="AQ58" s="68">
        <f t="shared" si="59"/>
        <v>3.8976441059974909</v>
      </c>
      <c r="AR58" s="68">
        <f t="shared" si="59"/>
        <v>13.047672878634843</v>
      </c>
      <c r="AS58" s="68">
        <f t="shared" si="59"/>
        <v>2.8530653217238164</v>
      </c>
      <c r="AT58" s="68">
        <f t="shared" si="59"/>
        <v>19.392372766477418</v>
      </c>
      <c r="AU58" s="68">
        <f t="shared" si="59"/>
        <v>82.815664997507085</v>
      </c>
      <c r="AV58" s="68">
        <f t="shared" si="59"/>
        <v>7.7589154777245231</v>
      </c>
      <c r="AW58" s="68">
        <f t="shared" si="59"/>
        <v>2.1625214241990478</v>
      </c>
      <c r="AX58" s="68">
        <f t="shared" si="59"/>
        <v>30.993069831349715</v>
      </c>
      <c r="AY58" s="68">
        <f t="shared" si="59"/>
        <v>24.689315057216611</v>
      </c>
      <c r="AZ58" s="68">
        <f t="shared" si="59"/>
        <v>5.0757417254567674</v>
      </c>
      <c r="BA58" s="68">
        <f t="shared" si="59"/>
        <v>18.985765245745945</v>
      </c>
      <c r="BB58" s="68">
        <f t="shared" si="59"/>
        <v>2.1898904352483273</v>
      </c>
      <c r="BE58" s="20" t="s">
        <v>230</v>
      </c>
    </row>
    <row r="59" spans="3:57" x14ac:dyDescent="0.2">
      <c r="C59" s="34" t="s">
        <v>217</v>
      </c>
      <c r="D59" s="47">
        <v>2011</v>
      </c>
      <c r="E59" s="68">
        <f>E47*$L$24</f>
        <v>14.37175299839288</v>
      </c>
      <c r="F59" s="68">
        <f t="shared" ref="F59:BB59" si="60">F47*$L$24</f>
        <v>2.9831440558474149</v>
      </c>
      <c r="G59" s="68">
        <f t="shared" si="60"/>
        <v>19.635360794402374</v>
      </c>
      <c r="H59" s="68">
        <f t="shared" si="60"/>
        <v>8.5659082369667896</v>
      </c>
      <c r="I59" s="68">
        <f t="shared" si="60"/>
        <v>144.17471065247551</v>
      </c>
      <c r="J59" s="68">
        <f t="shared" si="60"/>
        <v>19.360750031338839</v>
      </c>
      <c r="K59" s="68">
        <f t="shared" si="60"/>
        <v>17.744425481711431</v>
      </c>
      <c r="L59" s="68">
        <f t="shared" si="60"/>
        <v>3.3296283067021446</v>
      </c>
      <c r="M59" s="68">
        <f t="shared" si="60"/>
        <v>65.209382080371157</v>
      </c>
      <c r="N59" s="68">
        <f t="shared" si="60"/>
        <v>30.564801188571256</v>
      </c>
      <c r="O59" s="68">
        <f t="shared" si="60"/>
        <v>5.1474335736432346</v>
      </c>
      <c r="P59" s="68">
        <f t="shared" si="60"/>
        <v>4.5357540932660161</v>
      </c>
      <c r="Q59" s="68">
        <f t="shared" si="60"/>
        <v>48.583198276189613</v>
      </c>
      <c r="R59" s="68">
        <f t="shared" si="60"/>
        <v>20.284394136817451</v>
      </c>
      <c r="S59" s="68">
        <f t="shared" si="60"/>
        <v>11.146338229651361</v>
      </c>
      <c r="T59" s="68">
        <f t="shared" si="60"/>
        <v>10.345645108366879</v>
      </c>
      <c r="U59" s="68">
        <f t="shared" si="60"/>
        <v>12.92102120267146</v>
      </c>
      <c r="V59" s="68">
        <f t="shared" si="60"/>
        <v>15.134359822254062</v>
      </c>
      <c r="W59" s="68">
        <f t="shared" si="60"/>
        <v>4.4243565042414321</v>
      </c>
      <c r="X59" s="68">
        <f t="shared" si="60"/>
        <v>26.210528583475476</v>
      </c>
      <c r="Y59" s="68">
        <f t="shared" si="60"/>
        <v>30.683106591480751</v>
      </c>
      <c r="Z59" s="68">
        <f t="shared" si="60"/>
        <v>31.328536430601993</v>
      </c>
      <c r="AA59" s="68">
        <f t="shared" si="60"/>
        <v>20.672990724204592</v>
      </c>
      <c r="AB59" s="68">
        <f t="shared" si="60"/>
        <v>8.210404863629817</v>
      </c>
      <c r="AC59" s="68">
        <f t="shared" si="60"/>
        <v>19.552420602806396</v>
      </c>
      <c r="AD59" s="68">
        <f t="shared" si="60"/>
        <v>3.1375803395722941</v>
      </c>
      <c r="AE59" s="68">
        <f t="shared" si="60"/>
        <v>6.8883681579829137</v>
      </c>
      <c r="AF59" s="68">
        <f t="shared" si="60"/>
        <v>8.7125538613480096</v>
      </c>
      <c r="AG59" s="68">
        <f t="shared" si="60"/>
        <v>5.3663853289137542</v>
      </c>
      <c r="AH59" s="68">
        <f t="shared" si="60"/>
        <v>40.359568375596041</v>
      </c>
      <c r="AI59" s="68">
        <f t="shared" si="60"/>
        <v>6.1928742060448938</v>
      </c>
      <c r="AJ59" s="68">
        <f t="shared" si="60"/>
        <v>86.717543923313102</v>
      </c>
      <c r="AK59" s="68">
        <f t="shared" si="60"/>
        <v>30.189511438614847</v>
      </c>
      <c r="AL59" s="68">
        <f t="shared" si="60"/>
        <v>2.7694022622561842</v>
      </c>
      <c r="AM59" s="68">
        <f t="shared" si="60"/>
        <v>38.213714456027837</v>
      </c>
      <c r="AN59" s="68">
        <f t="shared" si="60"/>
        <v>12.628070432292496</v>
      </c>
      <c r="AO59" s="68">
        <f t="shared" si="60"/>
        <v>12.50574944017648</v>
      </c>
      <c r="AP59" s="68">
        <f t="shared" si="60"/>
        <v>47.825019727032213</v>
      </c>
      <c r="AQ59" s="68">
        <f t="shared" si="60"/>
        <v>4.0156151599690713</v>
      </c>
      <c r="AR59" s="68">
        <f t="shared" si="60"/>
        <v>13.68314784494326</v>
      </c>
      <c r="AS59" s="68">
        <f t="shared" si="60"/>
        <v>3.1634471890185196</v>
      </c>
      <c r="AT59" s="68">
        <f t="shared" si="60"/>
        <v>20.353194154078825</v>
      </c>
      <c r="AU59" s="68">
        <f t="shared" si="60"/>
        <v>90.24189314517902</v>
      </c>
      <c r="AV59" s="68">
        <f t="shared" si="60"/>
        <v>8.2378715760311714</v>
      </c>
      <c r="AW59" s="68">
        <f t="shared" si="60"/>
        <v>2.3030480353717979</v>
      </c>
      <c r="AX59" s="68">
        <f t="shared" si="60"/>
        <v>32.714225462971811</v>
      </c>
      <c r="AY59" s="68">
        <f t="shared" si="60"/>
        <v>25.960970005731049</v>
      </c>
      <c r="AZ59" s="68">
        <f t="shared" si="60"/>
        <v>5.3737658724083301</v>
      </c>
      <c r="BA59" s="68">
        <f t="shared" si="60"/>
        <v>19.880021280101282</v>
      </c>
      <c r="BB59" s="68">
        <f t="shared" si="60"/>
        <v>2.3915253905149609</v>
      </c>
      <c r="BE59" s="20" t="s">
        <v>230</v>
      </c>
    </row>
    <row r="61" spans="3:57" ht="32" x14ac:dyDescent="0.2">
      <c r="C61" s="28">
        <v>8</v>
      </c>
      <c r="D61" s="44" t="s">
        <v>229</v>
      </c>
      <c r="E61" s="42" t="s">
        <v>170</v>
      </c>
      <c r="F61" s="45" t="s">
        <v>171</v>
      </c>
      <c r="G61" s="45" t="s">
        <v>172</v>
      </c>
      <c r="H61" s="45" t="s">
        <v>173</v>
      </c>
      <c r="I61" s="45" t="s">
        <v>174</v>
      </c>
      <c r="J61" s="45" t="s">
        <v>175</v>
      </c>
      <c r="K61" s="45" t="s">
        <v>176</v>
      </c>
      <c r="L61" s="45" t="s">
        <v>177</v>
      </c>
      <c r="M61" s="45" t="s">
        <v>178</v>
      </c>
      <c r="N61" s="45" t="s">
        <v>179</v>
      </c>
      <c r="O61" s="45" t="s">
        <v>180</v>
      </c>
      <c r="P61" s="45" t="s">
        <v>181</v>
      </c>
      <c r="Q61" s="45" t="s">
        <v>182</v>
      </c>
      <c r="R61" s="45" t="s">
        <v>183</v>
      </c>
      <c r="S61" s="45" t="s">
        <v>184</v>
      </c>
      <c r="T61" s="45" t="s">
        <v>185</v>
      </c>
      <c r="U61" s="45" t="s">
        <v>186</v>
      </c>
      <c r="V61" s="45" t="s">
        <v>187</v>
      </c>
      <c r="W61" s="45" t="s">
        <v>188</v>
      </c>
      <c r="X61" s="45" t="s">
        <v>189</v>
      </c>
      <c r="Y61" s="45" t="s">
        <v>190</v>
      </c>
      <c r="Z61" s="45" t="s">
        <v>191</v>
      </c>
      <c r="AA61" s="45" t="s">
        <v>192</v>
      </c>
      <c r="AB61" s="45" t="s">
        <v>193</v>
      </c>
      <c r="AC61" s="45" t="s">
        <v>194</v>
      </c>
      <c r="AD61" s="45" t="s">
        <v>195</v>
      </c>
      <c r="AE61" s="45" t="s">
        <v>196</v>
      </c>
      <c r="AF61" s="45" t="s">
        <v>197</v>
      </c>
      <c r="AG61" s="45" t="s">
        <v>198</v>
      </c>
      <c r="AH61" s="45" t="s">
        <v>199</v>
      </c>
      <c r="AI61" s="45" t="s">
        <v>200</v>
      </c>
      <c r="AJ61" s="45" t="s">
        <v>201</v>
      </c>
      <c r="AK61" s="45" t="s">
        <v>202</v>
      </c>
      <c r="AL61" s="45" t="s">
        <v>203</v>
      </c>
      <c r="AM61" s="45" t="s">
        <v>204</v>
      </c>
      <c r="AN61" s="45" t="s">
        <v>205</v>
      </c>
      <c r="AO61" s="45" t="s">
        <v>206</v>
      </c>
      <c r="AP61" s="45" t="s">
        <v>207</v>
      </c>
      <c r="AQ61" s="45" t="s">
        <v>208</v>
      </c>
      <c r="AR61" s="45" t="s">
        <v>209</v>
      </c>
      <c r="AS61" s="45" t="s">
        <v>210</v>
      </c>
      <c r="AT61" s="45" t="s">
        <v>211</v>
      </c>
      <c r="AU61" s="45" t="s">
        <v>212</v>
      </c>
      <c r="AV61" s="45" t="s">
        <v>213</v>
      </c>
      <c r="AW61" s="45" t="s">
        <v>214</v>
      </c>
      <c r="AX61" s="45" t="s">
        <v>265</v>
      </c>
      <c r="AY61" s="45" t="s">
        <v>266</v>
      </c>
      <c r="AZ61" s="45" t="s">
        <v>267</v>
      </c>
      <c r="BA61" s="45" t="s">
        <v>215</v>
      </c>
      <c r="BB61" s="45" t="s">
        <v>216</v>
      </c>
    </row>
    <row r="62" spans="3:57" x14ac:dyDescent="0.2">
      <c r="C62" s="34" t="s">
        <v>231</v>
      </c>
      <c r="D62" s="46">
        <v>2002</v>
      </c>
      <c r="E62" s="68">
        <f>E50/$C$32</f>
        <v>15.913846258789787</v>
      </c>
      <c r="F62" s="68">
        <f>F50/$C$34</f>
        <v>2.8857319084674167</v>
      </c>
      <c r="G62" s="68">
        <f>G50/$C$34</f>
        <v>19.743769158637164</v>
      </c>
      <c r="H62" s="68">
        <f>H50/$C$32</f>
        <v>8.91530479872592</v>
      </c>
      <c r="I62" s="68">
        <f>I50/$C$34</f>
        <v>158.29893197493388</v>
      </c>
      <c r="J62" s="68">
        <f>J50/$C$34</f>
        <v>20.704924098510595</v>
      </c>
      <c r="K62" s="68">
        <f>K50/$C$30</f>
        <v>20.644705887598086</v>
      </c>
      <c r="L62" s="68">
        <f>L50/$C$32</f>
        <v>3.8315946994559442</v>
      </c>
      <c r="M62" s="68">
        <f>M50/$C$32</f>
        <v>70.425825531025325</v>
      </c>
      <c r="N62" s="68">
        <f>N50/$C$32</f>
        <v>34.546402478800509</v>
      </c>
      <c r="O62" s="68">
        <f>O50/$C$34</f>
        <v>5.0303556430997798</v>
      </c>
      <c r="P62" s="68">
        <f>P50/$C$34</f>
        <v>4.7062220275548334</v>
      </c>
      <c r="Q62" s="68">
        <f>Q50/$C$28</f>
        <v>56.527444244450884</v>
      </c>
      <c r="R62" s="68">
        <f>R50/$C$28</f>
        <v>23.545519228438121</v>
      </c>
      <c r="S62" s="68">
        <f>S50/$C$28</f>
        <v>11.321207285883574</v>
      </c>
      <c r="T62" s="68">
        <f>T50/$C$28</f>
        <v>10.726863044302057</v>
      </c>
      <c r="U62" s="68">
        <f>U50/$C$32</f>
        <v>14.566319411880087</v>
      </c>
      <c r="V62" s="68">
        <f>V50/$C$32</f>
        <v>15.675486791011652</v>
      </c>
      <c r="W62" s="68">
        <f>W50/$C$30</f>
        <v>5.1847072278016046</v>
      </c>
      <c r="X62" s="68">
        <f>X50/$C$32</f>
        <v>28.001127617888571</v>
      </c>
      <c r="Y62" s="68">
        <f>Y50/$C$30</f>
        <v>35.112881107073676</v>
      </c>
      <c r="Z62" s="68">
        <f>Z50/$C$28</f>
        <v>40.197767818680163</v>
      </c>
      <c r="AA62" s="68">
        <f>AA50/$C$28</f>
        <v>22.482640259149271</v>
      </c>
      <c r="AB62" s="68">
        <f>AB50/$C$32</f>
        <v>9.0051838872567593</v>
      </c>
      <c r="AC62" s="68">
        <f>AC50/$C$28</f>
        <v>22.007017371649933</v>
      </c>
      <c r="AD62" s="68">
        <f>AD50/$C$34</f>
        <v>3.0583012629931452</v>
      </c>
      <c r="AE62" s="68">
        <f>AE50/$C$28</f>
        <v>7.0028756214739811</v>
      </c>
      <c r="AF62" s="68">
        <f>AF50/$C$34</f>
        <v>9.1919278474101844</v>
      </c>
      <c r="AG62" s="68">
        <f>AG50/$C$30</f>
        <v>6.2001476890049485</v>
      </c>
      <c r="AH62" s="68">
        <f>AH50/$C$30</f>
        <v>47.823497891991096</v>
      </c>
      <c r="AI62" s="68">
        <f>AI50/$C$34</f>
        <v>6.3422559296878473</v>
      </c>
      <c r="AJ62" s="68">
        <f>AJ50/$C$30</f>
        <v>95.25611419433551</v>
      </c>
      <c r="AK62" s="68">
        <f>AK50/$C$32</f>
        <v>32.264902641595206</v>
      </c>
      <c r="AL62" s="68">
        <f>AL50/$C$28</f>
        <v>2.2870645832603702</v>
      </c>
      <c r="AM62" s="68">
        <f>AM50/$C$28</f>
        <v>45.071006273629166</v>
      </c>
      <c r="AN62" s="68">
        <f>AN50/$C$32</f>
        <v>12.756837092358332</v>
      </c>
      <c r="AO62" s="68">
        <f>AO50/$C$34</f>
        <v>13.701844467645165</v>
      </c>
      <c r="AP62" s="68">
        <f>AP50/$C$30</f>
        <v>54.680810960165616</v>
      </c>
      <c r="AQ62" s="68">
        <f>AQ50/$C$30</f>
        <v>4.7981417833593696</v>
      </c>
      <c r="AR62" s="68">
        <f>AR50/$C$32</f>
        <v>14.645516918132765</v>
      </c>
      <c r="AS62" s="68">
        <f>AS50/$C$28</f>
        <v>2.8749662333222581</v>
      </c>
      <c r="AT62" s="68">
        <f>AT50/$C$32</f>
        <v>22.550114288297191</v>
      </c>
      <c r="AU62" s="68">
        <f>AU50/$C$32</f>
        <v>86.513728865941189</v>
      </c>
      <c r="AV62" s="68">
        <f>AV50/$C$34</f>
        <v>7.9971749432341808</v>
      </c>
      <c r="AW62" s="68">
        <f>AW50/$C$30</f>
        <v>2.5933670722672058</v>
      </c>
      <c r="AX62" s="68">
        <f>AX50/$C$32</f>
        <v>33.972539701648074</v>
      </c>
      <c r="AY62" s="68">
        <f>AY50/$C$34</f>
        <v>26.938460443451937</v>
      </c>
      <c r="AZ62" s="68">
        <f>AZ50/$C$32</f>
        <v>5.9352911625227174</v>
      </c>
      <c r="BA62" s="68">
        <f>BA50/$C$28</f>
        <v>22.405885206506802</v>
      </c>
      <c r="BB62" s="68">
        <f>BB50/$C$34</f>
        <v>2.0801791707281345</v>
      </c>
      <c r="BE62" s="20" t="s">
        <v>232</v>
      </c>
    </row>
    <row r="63" spans="3:57" x14ac:dyDescent="0.2">
      <c r="C63" s="487" t="s">
        <v>231</v>
      </c>
      <c r="D63" s="46">
        <v>2003</v>
      </c>
      <c r="E63" s="488">
        <f>E51/$D$32</f>
        <v>16.148065209026345</v>
      </c>
      <c r="F63" s="488">
        <f>F51/$D$34</f>
        <v>2.9263220715170135</v>
      </c>
      <c r="G63" s="488">
        <f>G51/$D$34</f>
        <v>20.281743776783532</v>
      </c>
      <c r="H63" s="488">
        <f>H51/$D$32</f>
        <v>9.1845915808583651</v>
      </c>
      <c r="I63" s="488">
        <f>I51/$D$34</f>
        <v>160.96524487894021</v>
      </c>
      <c r="J63" s="488">
        <f>J51/$D$34</f>
        <v>20.617808240409492</v>
      </c>
      <c r="K63" s="488">
        <f>K51/$D$30</f>
        <v>20.394982825752329</v>
      </c>
      <c r="L63" s="488">
        <f>L51/$D$32</f>
        <v>3.8418055462098604</v>
      </c>
      <c r="M63" s="488">
        <f>M51/$D$32</f>
        <v>71.825332586880762</v>
      </c>
      <c r="N63" s="488">
        <f>N51/$D$32</f>
        <v>34.761648999473891</v>
      </c>
      <c r="O63" s="488">
        <f>O51/$D$34</f>
        <v>5.1489024934143828</v>
      </c>
      <c r="P63" s="488">
        <f>P51/$D$34</f>
        <v>4.7768904330456827</v>
      </c>
      <c r="Q63" s="488">
        <f>Q51/$D$28</f>
        <v>56.31940904855599</v>
      </c>
      <c r="R63" s="488">
        <f>R51/$D$28</f>
        <v>23.64485167430411</v>
      </c>
      <c r="S63" s="488">
        <f>S51/$D$28</f>
        <v>11.334943679443958</v>
      </c>
      <c r="T63" s="488">
        <f>T51/$D$28</f>
        <v>10.826780548958395</v>
      </c>
      <c r="U63" s="488">
        <f>U51/$D$32</f>
        <v>14.55493475860772</v>
      </c>
      <c r="V63" s="488">
        <f>V51/$D$32</f>
        <v>15.743717548127689</v>
      </c>
      <c r="W63" s="488">
        <f>W51/$D$30</f>
        <v>5.2794353427678899</v>
      </c>
      <c r="X63" s="488">
        <f>X51/$D$32</f>
        <v>28.560919023753097</v>
      </c>
      <c r="Y63" s="488">
        <f>Y51/$D$30</f>
        <v>34.84294068844266</v>
      </c>
      <c r="Z63" s="488">
        <f>Z51/$D$28</f>
        <v>40.367087851918726</v>
      </c>
      <c r="AA63" s="488">
        <f>AA51/$D$28</f>
        <v>22.988408374707078</v>
      </c>
      <c r="AB63" s="488">
        <f>AB51/$D$32</f>
        <v>9.1062309678000162</v>
      </c>
      <c r="AC63" s="488">
        <f>AC51/$D$28</f>
        <v>22.378589859205491</v>
      </c>
      <c r="AD63" s="488">
        <f>AD51/$D$34</f>
        <v>3.1691773577149962</v>
      </c>
      <c r="AE63" s="488">
        <f>AE51/$D$28</f>
        <v>7.3048824102185899</v>
      </c>
      <c r="AF63" s="488">
        <f>AF51/$D$34</f>
        <v>9.6936710173999519</v>
      </c>
      <c r="AG63" s="488">
        <f>AG51/$D$30</f>
        <v>6.1748905992577452</v>
      </c>
      <c r="AH63" s="488">
        <f>AH51/$D$30</f>
        <v>47.368099480318087</v>
      </c>
      <c r="AI63" s="488">
        <f>AI51/$D$34</f>
        <v>6.3892519435369524</v>
      </c>
      <c r="AJ63" s="488">
        <f>AJ51/$D$30</f>
        <v>94.729074874519441</v>
      </c>
      <c r="AK63" s="488">
        <f>AK51/$D$32</f>
        <v>32.459915516746229</v>
      </c>
      <c r="AL63" s="488">
        <f>AL51/$D$28</f>
        <v>2.4398063520450073</v>
      </c>
      <c r="AM63" s="488">
        <f>AM51/$D$28</f>
        <v>45.252855539003775</v>
      </c>
      <c r="AN63" s="488">
        <f>AN51/$D$32</f>
        <v>12.849637792534105</v>
      </c>
      <c r="AO63" s="488">
        <f>AO51/$D$34</f>
        <v>13.832387120339419</v>
      </c>
      <c r="AP63" s="488">
        <f>AP51/$D$30</f>
        <v>54.686672640474406</v>
      </c>
      <c r="AQ63" s="488">
        <f>AQ51/$D$30</f>
        <v>4.8601137657130371</v>
      </c>
      <c r="AR63" s="488">
        <f>AR51/$D$32</f>
        <v>14.750380467958593</v>
      </c>
      <c r="AS63" s="488">
        <f>AS51/$D$28</f>
        <v>3.0635393244030245</v>
      </c>
      <c r="AT63" s="488">
        <f>AT51/$D$32</f>
        <v>22.822457078776374</v>
      </c>
      <c r="AU63" s="488">
        <f>AU51/$D$32</f>
        <v>87.493415205082272</v>
      </c>
      <c r="AV63" s="488">
        <f>AV51/$D$34</f>
        <v>8.0309943842204685</v>
      </c>
      <c r="AW63" s="488">
        <f>AW51/$D$30</f>
        <v>2.6294740594074457</v>
      </c>
      <c r="AX63" s="488">
        <f>AX51/$D$32</f>
        <v>34.98344425739996</v>
      </c>
      <c r="AY63" s="488">
        <f>AY51/$D$34</f>
        <v>27.336225663506202</v>
      </c>
      <c r="AZ63" s="488">
        <f>AZ51/$D$32</f>
        <v>5.9204045999907269</v>
      </c>
      <c r="BA63" s="488">
        <f>BA51/$D$28</f>
        <v>22.646172617053622</v>
      </c>
      <c r="BB63" s="488">
        <f>BB51/$D$34</f>
        <v>2.171181030849171</v>
      </c>
      <c r="BE63" s="20" t="s">
        <v>232</v>
      </c>
    </row>
    <row r="64" spans="3:57" x14ac:dyDescent="0.2">
      <c r="C64" s="487" t="s">
        <v>231</v>
      </c>
      <c r="D64" s="46">
        <v>2004</v>
      </c>
      <c r="E64" s="488">
        <f>E52/$E$32</f>
        <v>16.895995114504046</v>
      </c>
      <c r="F64" s="488">
        <f>F52/$E$34</f>
        <v>2.9883313013699229</v>
      </c>
      <c r="G64" s="488">
        <f>G52/$E$34</f>
        <v>21.637615804057617</v>
      </c>
      <c r="H64" s="488">
        <f>H52/$E$32</f>
        <v>9.5589497670555446</v>
      </c>
      <c r="I64" s="488">
        <f>I52/$E$34</f>
        <v>167.38252899600852</v>
      </c>
      <c r="J64" s="488">
        <f>J52/$E$34</f>
        <v>21.111062848721303</v>
      </c>
      <c r="K64" s="488">
        <f>K52/$E$30</f>
        <v>21.114046954264104</v>
      </c>
      <c r="L64" s="488">
        <f>L52/$E$32</f>
        <v>3.997290654567486</v>
      </c>
      <c r="M64" s="488">
        <f>M52/$E$32</f>
        <v>76.661968950170092</v>
      </c>
      <c r="N64" s="488">
        <f>N52/$E$32</f>
        <v>35.704719194076901</v>
      </c>
      <c r="O64" s="488">
        <f>O52/$E$34</f>
        <v>5.4551545211961834</v>
      </c>
      <c r="P64" s="488">
        <f>P52/$E$34</f>
        <v>5.1050705748124887</v>
      </c>
      <c r="Q64" s="488">
        <f>Q52/$E$28</f>
        <v>57.565655335713565</v>
      </c>
      <c r="R64" s="488">
        <f>R52/$E$28</f>
        <v>24.28518129617057</v>
      </c>
      <c r="S64" s="488">
        <f>S52/$E$28</f>
        <v>12.038758208816118</v>
      </c>
      <c r="T64" s="488">
        <f>T52/$E$28</f>
        <v>11.043661965815565</v>
      </c>
      <c r="U64" s="488">
        <f>U52/$E$32</f>
        <v>15.043350000140428</v>
      </c>
      <c r="V64" s="488">
        <f>V52/$E$32</f>
        <v>16.20181338041138</v>
      </c>
      <c r="W64" s="488">
        <f>W52/$E$30</f>
        <v>5.3894233627090493</v>
      </c>
      <c r="X64" s="488">
        <f>X52/$E$32</f>
        <v>29.985922155676196</v>
      </c>
      <c r="Y64" s="488">
        <f>Y52/$E$30</f>
        <v>35.437494109276734</v>
      </c>
      <c r="Z64" s="488">
        <f>Z52/$E$28</f>
        <v>40.815144435412549</v>
      </c>
      <c r="AA64" s="488">
        <f>AA52/$E$28</f>
        <v>23.70942743471149</v>
      </c>
      <c r="AB64" s="488">
        <f>AB52/$E$32</f>
        <v>9.4314735592901311</v>
      </c>
      <c r="AC64" s="488">
        <f>AC52/$E$28</f>
        <v>23.033769030076709</v>
      </c>
      <c r="AD64" s="488">
        <f>AD52/$E$34</f>
        <v>3.312002009503809</v>
      </c>
      <c r="AE64" s="488">
        <f>AE52/$E$28</f>
        <v>7.4448997702776145</v>
      </c>
      <c r="AF64" s="488">
        <f>AF52/$E$34</f>
        <v>10.606685986142907</v>
      </c>
      <c r="AG64" s="488">
        <f>AG52/$E$30</f>
        <v>6.3785736913681728</v>
      </c>
      <c r="AH64" s="488">
        <f>AH52/$E$30</f>
        <v>48.1557516217539</v>
      </c>
      <c r="AI64" s="488">
        <f>AI52/$E$34</f>
        <v>6.6235931644251513</v>
      </c>
      <c r="AJ64" s="488">
        <f>AJ52/$E$30</f>
        <v>97.363514196053728</v>
      </c>
      <c r="AK64" s="488">
        <f>AK52/$E$32</f>
        <v>34.067239184083817</v>
      </c>
      <c r="AL64" s="488">
        <f>AL52/$E$28</f>
        <v>2.4290009107396804</v>
      </c>
      <c r="AM64" s="488">
        <f>AM52/$E$28</f>
        <v>45.971454570658082</v>
      </c>
      <c r="AN64" s="488">
        <f>AN52/$E$32</f>
        <v>13.30525211037539</v>
      </c>
      <c r="AO64" s="488">
        <f>AO52/$E$34</f>
        <v>14.284082607757812</v>
      </c>
      <c r="AP64" s="488">
        <f>AP52/$E$30</f>
        <v>55.67261429284774</v>
      </c>
      <c r="AQ64" s="488">
        <f>AQ52/$E$30</f>
        <v>4.9305480906224588</v>
      </c>
      <c r="AR64" s="488">
        <f>AR52/$E$32</f>
        <v>15.265995204806069</v>
      </c>
      <c r="AS64" s="488">
        <f>AS52/$E$28</f>
        <v>3.1747955783201838</v>
      </c>
      <c r="AT64" s="488">
        <f>AT52/$E$32</f>
        <v>23.613529097171295</v>
      </c>
      <c r="AU64" s="488">
        <f>AU52/$E$32</f>
        <v>89.952545643873933</v>
      </c>
      <c r="AV64" s="488">
        <f>AV52/$E$34</f>
        <v>8.3784521269139134</v>
      </c>
      <c r="AW64" s="488">
        <f>AW52/$E$30</f>
        <v>2.7056072374005273</v>
      </c>
      <c r="AX64" s="488">
        <f>AX52/$E$32</f>
        <v>36.456214596283182</v>
      </c>
      <c r="AY64" s="488">
        <f>AY52/$E$34</f>
        <v>28.730325745026612</v>
      </c>
      <c r="AZ64" s="488">
        <f>AZ52/$E$32</f>
        <v>5.9881385361367983</v>
      </c>
      <c r="BA64" s="488">
        <f>BA52/$E$28</f>
        <v>23.2709016906093</v>
      </c>
      <c r="BB64" s="488">
        <f>BB52/$E$34</f>
        <v>2.3002918510749919</v>
      </c>
      <c r="BE64" s="20" t="s">
        <v>232</v>
      </c>
    </row>
    <row r="65" spans="3:57" x14ac:dyDescent="0.2">
      <c r="C65" s="487" t="s">
        <v>231</v>
      </c>
      <c r="D65" s="46">
        <v>2005</v>
      </c>
      <c r="E65" s="488">
        <f>E53/$F$32</f>
        <v>17.015225826453424</v>
      </c>
      <c r="F65" s="488">
        <f>F53/$F$34</f>
        <v>3.0345358626361851</v>
      </c>
      <c r="G65" s="488">
        <f>G53/$F$34</f>
        <v>23.000386946238446</v>
      </c>
      <c r="H65" s="488">
        <f>H53/$F$32</f>
        <v>9.5984865993726878</v>
      </c>
      <c r="I65" s="488">
        <f>I53/$F$34</f>
        <v>169.64093798447888</v>
      </c>
      <c r="J65" s="488">
        <f>J53/$F$34</f>
        <v>21.615454952398888</v>
      </c>
      <c r="K65" s="488">
        <f>K53/$F$30</f>
        <v>21.159546787248974</v>
      </c>
      <c r="L65" s="488">
        <f>L53/$F$32</f>
        <v>4.0032612285135629</v>
      </c>
      <c r="M65" s="488">
        <f>M53/$F$32</f>
        <v>79.825972327615162</v>
      </c>
      <c r="N65" s="488">
        <f>N53/$F$32</f>
        <v>36.332601457369698</v>
      </c>
      <c r="O65" s="488">
        <f>O53/$F$34</f>
        <v>5.6050702622904254</v>
      </c>
      <c r="P65" s="488">
        <f>P53/$F$34</f>
        <v>5.2013771671372444</v>
      </c>
      <c r="Q65" s="488">
        <f>Q53/$F$28</f>
        <v>57.568887966731694</v>
      </c>
      <c r="R65" s="488">
        <f>R53/$F$28</f>
        <v>23.934349930335379</v>
      </c>
      <c r="S65" s="488">
        <f>S53/$F$28</f>
        <v>11.845932055903269</v>
      </c>
      <c r="T65" s="488">
        <f>T53/$F$28</f>
        <v>11.109523441401032</v>
      </c>
      <c r="U65" s="488">
        <f>U53/$F$32</f>
        <v>15.060926060364396</v>
      </c>
      <c r="V65" s="488">
        <f>V53/$F$32</f>
        <v>16.579463950478562</v>
      </c>
      <c r="W65" s="488">
        <f>W53/$F$30</f>
        <v>5.2485398327919972</v>
      </c>
      <c r="X65" s="488">
        <f>X53/$F$32</f>
        <v>30.226422202659858</v>
      </c>
      <c r="Y65" s="488">
        <f>Y53/$F$30</f>
        <v>35.273493357529873</v>
      </c>
      <c r="Z65" s="488">
        <f>Z53/$F$28</f>
        <v>40.107077322434272</v>
      </c>
      <c r="AA65" s="488">
        <f>AA53/$F$28</f>
        <v>23.397740177462477</v>
      </c>
      <c r="AB65" s="488">
        <f>AB53/$F$32</f>
        <v>9.6125494937257283</v>
      </c>
      <c r="AC65" s="488">
        <f>AC53/$F$28</f>
        <v>22.928904021211039</v>
      </c>
      <c r="AD65" s="488">
        <f>AD53/$F$34</f>
        <v>3.368685055539864</v>
      </c>
      <c r="AE65" s="488">
        <f>AE53/$F$28</f>
        <v>7.3973628874813357</v>
      </c>
      <c r="AF65" s="488">
        <f>AF53/$F$34</f>
        <v>11.407934420992209</v>
      </c>
      <c r="AG65" s="488">
        <f>AG53/$F$30</f>
        <v>6.2936281185186198</v>
      </c>
      <c r="AH65" s="488">
        <f>AH53/$F$30</f>
        <v>47.809386356157354</v>
      </c>
      <c r="AI65" s="488">
        <f>AI53/$F$34</f>
        <v>6.8308205726628985</v>
      </c>
      <c r="AJ65" s="488">
        <f>AJ53/$F$30</f>
        <v>97.976339062622557</v>
      </c>
      <c r="AK65" s="488">
        <f>AK53/$F$32</f>
        <v>34.683487195430502</v>
      </c>
      <c r="AL65" s="488">
        <f>AL53/$F$28</f>
        <v>2.4703255098758912</v>
      </c>
      <c r="AM65" s="488">
        <f>AM53/$F$28</f>
        <v>45.455273986422412</v>
      </c>
      <c r="AN65" s="488">
        <f>AN53/$F$32</f>
        <v>13.642018305316528</v>
      </c>
      <c r="AO65" s="488">
        <f>AO53/$F$34</f>
        <v>14.286383676707807</v>
      </c>
      <c r="AP65" s="488">
        <f>AP53/$F$30</f>
        <v>55.187499997897163</v>
      </c>
      <c r="AQ65" s="488">
        <f>AQ53/$F$30</f>
        <v>4.8111859541572333</v>
      </c>
      <c r="AR65" s="488">
        <f>AR53/$F$32</f>
        <v>15.460525714637221</v>
      </c>
      <c r="AS65" s="488">
        <f>AS53/$F$28</f>
        <v>3.140423789946535</v>
      </c>
      <c r="AT65" s="488">
        <f>AT53/$F$32</f>
        <v>23.43821576001281</v>
      </c>
      <c r="AU65" s="488">
        <f>AU53/$F$32</f>
        <v>93.311558817758723</v>
      </c>
      <c r="AV65" s="488">
        <f>AV53/$F$34</f>
        <v>8.7901252877912484</v>
      </c>
      <c r="AW65" s="488">
        <f>AW53/$F$30</f>
        <v>2.6466671780492046</v>
      </c>
      <c r="AX65" s="488">
        <f>AX53/$F$32</f>
        <v>37.218857970877345</v>
      </c>
      <c r="AY65" s="488">
        <f>AY53/$F$34</f>
        <v>28.625346960437007</v>
      </c>
      <c r="AZ65" s="488">
        <f>AZ53/$F$32</f>
        <v>5.925413165814776</v>
      </c>
      <c r="BA65" s="488">
        <f>BA53/$F$28</f>
        <v>23.080161545181703</v>
      </c>
      <c r="BB65" s="488">
        <f>BB53/$F$34</f>
        <v>2.4493413695649595</v>
      </c>
      <c r="BE65" s="20" t="s">
        <v>232</v>
      </c>
    </row>
    <row r="66" spans="3:57" x14ac:dyDescent="0.2">
      <c r="C66" s="487" t="s">
        <v>231</v>
      </c>
      <c r="D66" s="46">
        <v>2006</v>
      </c>
      <c r="E66" s="488">
        <f>E54/$G$32</f>
        <v>16.674597923597563</v>
      </c>
      <c r="F66" s="488">
        <f>F54/$G$34</f>
        <v>2.9726368032807788</v>
      </c>
      <c r="G66" s="488">
        <f>G54/$G$34</f>
        <v>23.563883165165382</v>
      </c>
      <c r="H66" s="488">
        <f>H54/$G$32</f>
        <v>9.4822615509787216</v>
      </c>
      <c r="I66" s="488">
        <f>I54/$G$34</f>
        <v>168.31786142189844</v>
      </c>
      <c r="J66" s="488">
        <f>J54/$G$34</f>
        <v>21.527262900068092</v>
      </c>
      <c r="K66" s="488">
        <f>K54/$G$30</f>
        <v>21.043667785448424</v>
      </c>
      <c r="L66" s="488">
        <f>L54/$G$32</f>
        <v>3.9516045583873427</v>
      </c>
      <c r="M66" s="488">
        <f>M54/$G$32</f>
        <v>80.155301176917803</v>
      </c>
      <c r="N66" s="488">
        <f>N54/$G$32</f>
        <v>35.906686358874808</v>
      </c>
      <c r="O66" s="488">
        <f>O54/$G$34</f>
        <v>5.5685897380709815</v>
      </c>
      <c r="P66" s="488">
        <f>P54/$G$34</f>
        <v>5.2786501251726339</v>
      </c>
      <c r="Q66" s="488">
        <f>Q54/$G$28</f>
        <v>57.396065415443502</v>
      </c>
      <c r="R66" s="488">
        <f>R54/$G$28</f>
        <v>23.664022087078713</v>
      </c>
      <c r="S66" s="488">
        <f>S54/$G$28</f>
        <v>11.640715012717513</v>
      </c>
      <c r="T66" s="488">
        <f>T54/$G$28</f>
        <v>11.225106360531832</v>
      </c>
      <c r="U66" s="488">
        <f>U54/$G$32</f>
        <v>14.746713127595694</v>
      </c>
      <c r="V66" s="488">
        <f>V54/$G$32</f>
        <v>16.270251255723437</v>
      </c>
      <c r="W66" s="488">
        <f>W54/$G$30</f>
        <v>5.1358567164237359</v>
      </c>
      <c r="X66" s="488">
        <f>X54/$G$32</f>
        <v>29.754391225344339</v>
      </c>
      <c r="Y66" s="488">
        <f>Y54/$G$30</f>
        <v>35.00176954385087</v>
      </c>
      <c r="Z66" s="488">
        <f>Z54/$G$28</f>
        <v>38.367409467293172</v>
      </c>
      <c r="AA66" s="488">
        <f>AA54/$G$28</f>
        <v>23.082473732705235</v>
      </c>
      <c r="AB66" s="488">
        <f>AB54/$G$32</f>
        <v>9.2743303940169319</v>
      </c>
      <c r="AC66" s="488">
        <f>AC54/$G$28</f>
        <v>22.705168761762284</v>
      </c>
      <c r="AD66" s="488">
        <f>AD54/$G$34</f>
        <v>3.3647423192828319</v>
      </c>
      <c r="AE66" s="488">
        <f>AE54/$G$28</f>
        <v>7.2051518644935335</v>
      </c>
      <c r="AF66" s="488">
        <f>AF54/$G$34</f>
        <v>11.288583229000746</v>
      </c>
      <c r="AG66" s="488">
        <f>AG54/$G$30</f>
        <v>6.2021432289992804</v>
      </c>
      <c r="AH66" s="488">
        <f>AH54/$G$30</f>
        <v>47.400502003156831</v>
      </c>
      <c r="AI66" s="488">
        <f>AI54/$G$34</f>
        <v>6.7419544824117548</v>
      </c>
      <c r="AJ66" s="488">
        <f>AJ54/$G$30</f>
        <v>97.402624537358562</v>
      </c>
      <c r="AK66" s="488">
        <f>AK54/$G$32</f>
        <v>34.362441631415031</v>
      </c>
      <c r="AL66" s="488">
        <f>AL54/$G$28</f>
        <v>2.4094391767046366</v>
      </c>
      <c r="AM66" s="488">
        <f>AM54/$G$28</f>
        <v>44.620343805616088</v>
      </c>
      <c r="AN66" s="488">
        <f>AN54/$G$32</f>
        <v>13.823316257227114</v>
      </c>
      <c r="AO66" s="488">
        <f>AO54/$G$34</f>
        <v>14.275584818235746</v>
      </c>
      <c r="AP66" s="488">
        <f>AP54/$G$30</f>
        <v>54.251413946302236</v>
      </c>
      <c r="AQ66" s="488">
        <f>AQ54/$G$30</f>
        <v>4.6941454880651019</v>
      </c>
      <c r="AR66" s="488">
        <f>AR54/$G$32</f>
        <v>15.451800638391443</v>
      </c>
      <c r="AS66" s="488">
        <f>AS54/$G$28</f>
        <v>2.9990466908447058</v>
      </c>
      <c r="AT66" s="488">
        <f>AT54/$G$32</f>
        <v>22.976156066848439</v>
      </c>
      <c r="AU66" s="488">
        <f>AU54/$G$32</f>
        <v>94.444150239028446</v>
      </c>
      <c r="AV66" s="488">
        <f>AV54/$G$34</f>
        <v>9.011327317749803</v>
      </c>
      <c r="AW66" s="488">
        <f>AW54/$G$30</f>
        <v>2.6057944210795045</v>
      </c>
      <c r="AX66" s="488">
        <f>AX54/$G$32</f>
        <v>36.79819811389104</v>
      </c>
      <c r="AY66" s="488">
        <f>AY54/$G$34</f>
        <v>28.705033300553403</v>
      </c>
      <c r="AZ66" s="488">
        <f>AZ54/$G$32</f>
        <v>5.8814210707056089</v>
      </c>
      <c r="BA66" s="488">
        <f>BA54/$G$28</f>
        <v>22.857677735680294</v>
      </c>
      <c r="BB66" s="488">
        <f>BB54/$G$34</f>
        <v>2.6034829751643205</v>
      </c>
      <c r="BE66" s="20" t="s">
        <v>232</v>
      </c>
    </row>
    <row r="67" spans="3:57" x14ac:dyDescent="0.2">
      <c r="C67" s="487" t="s">
        <v>231</v>
      </c>
      <c r="D67" s="46">
        <v>2007</v>
      </c>
      <c r="E67" s="488">
        <f>E55/$H$32</f>
        <v>16.497017734398383</v>
      </c>
      <c r="F67" s="488">
        <f>F55/$H$34</f>
        <v>3.0119196883847015</v>
      </c>
      <c r="G67" s="488">
        <f>G55/$H$34</f>
        <v>23.413505180930542</v>
      </c>
      <c r="H67" s="488">
        <f>H55/$H$32</f>
        <v>9.5715253951220145</v>
      </c>
      <c r="I67" s="488">
        <f>I55/$H$34</f>
        <v>165.59652484650863</v>
      </c>
      <c r="J67" s="488">
        <f>J55/$H$34</f>
        <v>21.457752555924316</v>
      </c>
      <c r="K67" s="488">
        <f>K55/$H$30</f>
        <v>21.197134734240539</v>
      </c>
      <c r="L67" s="488">
        <f>L55/$H$32</f>
        <v>3.8539631141240194</v>
      </c>
      <c r="M67" s="488">
        <f>M55/$H$32</f>
        <v>78.845938463282337</v>
      </c>
      <c r="N67" s="488">
        <f>N55/$H$32</f>
        <v>35.813447202083587</v>
      </c>
      <c r="O67" s="488">
        <f>O55/$H$34</f>
        <v>5.5766155829156689</v>
      </c>
      <c r="P67" s="488">
        <f>P55/$H$34</f>
        <v>5.2635049753163816</v>
      </c>
      <c r="Q67" s="488">
        <f>Q55/$H$28</f>
        <v>57.442225758400525</v>
      </c>
      <c r="R67" s="488">
        <f>R55/$H$28</f>
        <v>23.227419520475259</v>
      </c>
      <c r="S67" s="488">
        <f>S55/$H$28</f>
        <v>11.825819174133292</v>
      </c>
      <c r="T67" s="488">
        <f>T55/$H$28</f>
        <v>11.310591622869756</v>
      </c>
      <c r="U67" s="488">
        <f>U55/$H$32</f>
        <v>14.535367111597399</v>
      </c>
      <c r="V67" s="488">
        <f>V55/$H$32</f>
        <v>16.879422151452314</v>
      </c>
      <c r="W67" s="488">
        <f>W55/$H$30</f>
        <v>5.0857194410993332</v>
      </c>
      <c r="X67" s="488">
        <f>X55/$H$32</f>
        <v>29.405227320714054</v>
      </c>
      <c r="Y67" s="488">
        <f>Y55/$H$30</f>
        <v>34.884938297241703</v>
      </c>
      <c r="Z67" s="488">
        <f>Z55/$H$28</f>
        <v>37.310682046513364</v>
      </c>
      <c r="AA67" s="488">
        <f>AA55/$H$28</f>
        <v>23.179450652671676</v>
      </c>
      <c r="AB67" s="488">
        <f>AB55/$H$32</f>
        <v>9.3052128666198932</v>
      </c>
      <c r="AC67" s="488">
        <f>AC55/$H$28</f>
        <v>22.574940013845588</v>
      </c>
      <c r="AD67" s="488">
        <f>AD55/$H$34</f>
        <v>3.4065182024686442</v>
      </c>
      <c r="AE67" s="488">
        <f>AE55/$H$28</f>
        <v>7.3384804569075257</v>
      </c>
      <c r="AF67" s="488">
        <f>AF55/$H$34</f>
        <v>11.249365896899254</v>
      </c>
      <c r="AG67" s="488">
        <f>AG55/$H$30</f>
        <v>6.1462785377594535</v>
      </c>
      <c r="AH67" s="488">
        <f>AH55/$H$30</f>
        <v>47.423738488063719</v>
      </c>
      <c r="AI67" s="488">
        <f>AI55/$H$34</f>
        <v>6.733074118932918</v>
      </c>
      <c r="AJ67" s="488">
        <f>AJ55/$H$30</f>
        <v>99.720142556184328</v>
      </c>
      <c r="AK67" s="488">
        <f>AK55/$H$32</f>
        <v>34.463972888666568</v>
      </c>
      <c r="AL67" s="488">
        <f>AL55/$H$28</f>
        <v>2.524380238926057</v>
      </c>
      <c r="AM67" s="488">
        <f>AM55/$H$28</f>
        <v>43.815011276430852</v>
      </c>
      <c r="AN67" s="488">
        <f>AN55/$H$32</f>
        <v>13.564549872102784</v>
      </c>
      <c r="AO67" s="488">
        <f>AO55/$H$34</f>
        <v>14.104107617051142</v>
      </c>
      <c r="AP67" s="488">
        <f>AP55/$H$30</f>
        <v>54.134652237206275</v>
      </c>
      <c r="AQ67" s="488">
        <f>AQ55/$H$30</f>
        <v>4.6543980362995194</v>
      </c>
      <c r="AR67" s="488">
        <f>AR55/$H$32</f>
        <v>15.491007600634289</v>
      </c>
      <c r="AS67" s="488">
        <f>AS55/$H$28</f>
        <v>3.1506154585984469</v>
      </c>
      <c r="AT67" s="488">
        <f>AT55/$H$32</f>
        <v>22.733884322444375</v>
      </c>
      <c r="AU67" s="488">
        <f>AU55/$H$32</f>
        <v>94.67696664879297</v>
      </c>
      <c r="AV67" s="488">
        <f>AV55/$H$34</f>
        <v>9.2499925719218439</v>
      </c>
      <c r="AW67" s="488">
        <f>AW55/$H$30</f>
        <v>2.6024520125314612</v>
      </c>
      <c r="AX67" s="488">
        <f>AX55/$H$32</f>
        <v>36.681973977481157</v>
      </c>
      <c r="AY67" s="488">
        <f>AY55/$H$34</f>
        <v>29.304286381459168</v>
      </c>
      <c r="AZ67" s="488">
        <f>AZ55/$H$32</f>
        <v>5.7702419863783945</v>
      </c>
      <c r="BA67" s="488">
        <f>BA55/$H$28</f>
        <v>22.627206701937013</v>
      </c>
      <c r="BB67" s="488">
        <f>BB55/$H$34</f>
        <v>2.5921687067099146</v>
      </c>
      <c r="BE67" s="20" t="s">
        <v>232</v>
      </c>
    </row>
    <row r="68" spans="3:57" x14ac:dyDescent="0.2">
      <c r="C68" s="487" t="s">
        <v>231</v>
      </c>
      <c r="D68" s="46">
        <v>2008</v>
      </c>
      <c r="E68" s="488">
        <f>E56/$I$32</f>
        <v>14.771790693803956</v>
      </c>
      <c r="F68" s="488">
        <f>F56/$I$34</f>
        <v>2.8502924459347785</v>
      </c>
      <c r="G68" s="488">
        <f>G56/$I$34</f>
        <v>20.633004133307743</v>
      </c>
      <c r="H68" s="488">
        <f>H56/$I$32</f>
        <v>8.6464071464750969</v>
      </c>
      <c r="I68" s="488">
        <f>I56/$I$34</f>
        <v>146.60432097471579</v>
      </c>
      <c r="J68" s="488">
        <f>J56/$I$34</f>
        <v>19.492645612782106</v>
      </c>
      <c r="K68" s="488">
        <f>K56/$I$30</f>
        <v>18.544594488497886</v>
      </c>
      <c r="L68" s="488">
        <f>L56/$I$32</f>
        <v>3.4067669844681712</v>
      </c>
      <c r="M68" s="488">
        <f>M56/$I$32</f>
        <v>68.392040434956968</v>
      </c>
      <c r="N68" s="488">
        <f>N56/$I$32</f>
        <v>31.576390811533923</v>
      </c>
      <c r="O68" s="488">
        <f>O56/$I$34</f>
        <v>5.0717415636720462</v>
      </c>
      <c r="P68" s="488">
        <f>P56/$I$34</f>
        <v>4.6214422448625347</v>
      </c>
      <c r="Q68" s="488">
        <f>Q56/$I$28</f>
        <v>51.22077302336173</v>
      </c>
      <c r="R68" s="488">
        <f>R56/$I$28</f>
        <v>20.829231582255328</v>
      </c>
      <c r="S68" s="488">
        <f>S56/$I$28</f>
        <v>11.031659279606247</v>
      </c>
      <c r="T68" s="488">
        <f>T56/$I$28</f>
        <v>10.570190443439762</v>
      </c>
      <c r="U68" s="488">
        <f>U56/$I$32</f>
        <v>13.086719717836596</v>
      </c>
      <c r="V68" s="488">
        <f>V56/$I$32</f>
        <v>15.575473293504986</v>
      </c>
      <c r="W68" s="488">
        <f>W56/$I$30</f>
        <v>4.5453726483626795</v>
      </c>
      <c r="X68" s="488">
        <f>X56/$I$32</f>
        <v>26.295277872000092</v>
      </c>
      <c r="Y68" s="488">
        <f>Y56/$I$30</f>
        <v>31.057678470192826</v>
      </c>
      <c r="Z68" s="488">
        <f>Z56/$I$28</f>
        <v>32.829347447638007</v>
      </c>
      <c r="AA68" s="488">
        <f>AA56/$I$28</f>
        <v>20.952279671586147</v>
      </c>
      <c r="AB68" s="488">
        <f>AB56/$I$32</f>
        <v>8.3959179951027263</v>
      </c>
      <c r="AC68" s="488">
        <f>AC56/$I$28</f>
        <v>20.532531367950124</v>
      </c>
      <c r="AD68" s="488">
        <f>AD56/$I$34</f>
        <v>3.1116706269442846</v>
      </c>
      <c r="AE68" s="488">
        <f>AE56/$I$28</f>
        <v>6.7486771153265739</v>
      </c>
      <c r="AF68" s="488">
        <f>AF56/$I$34</f>
        <v>9.732869735109988</v>
      </c>
      <c r="AG68" s="488">
        <f>AG56/$I$30</f>
        <v>5.4427158956945911</v>
      </c>
      <c r="AH68" s="488">
        <f>AH56/$I$30</f>
        <v>42.079048311655903</v>
      </c>
      <c r="AI68" s="488">
        <f>AI56/$I$34</f>
        <v>6.1675301385779209</v>
      </c>
      <c r="AJ68" s="488">
        <f>AJ56/$I$30</f>
        <v>88.103531509923286</v>
      </c>
      <c r="AK68" s="488">
        <f>AK56/$I$32</f>
        <v>30.899771005425528</v>
      </c>
      <c r="AL68" s="488">
        <f>AL56/$I$28</f>
        <v>2.492400534916007</v>
      </c>
      <c r="AM68" s="488">
        <f>AM56/$I$28</f>
        <v>38.849262715300227</v>
      </c>
      <c r="AN68" s="488">
        <f>AN56/$I$32</f>
        <v>12.827939801235289</v>
      </c>
      <c r="AO68" s="488">
        <f>AO56/$I$34</f>
        <v>12.727581703020022</v>
      </c>
      <c r="AP68" s="488">
        <f>AP56/$I$30</f>
        <v>48.420067388204934</v>
      </c>
      <c r="AQ68" s="488">
        <f>AQ56/$I$30</f>
        <v>4.1140954861120917</v>
      </c>
      <c r="AR68" s="488">
        <f>AR56/$I$32</f>
        <v>13.950238798643054</v>
      </c>
      <c r="AS68" s="488">
        <f>AS56/$I$28</f>
        <v>2.9902680721963772</v>
      </c>
      <c r="AT68" s="488">
        <f>AT56/$I$32</f>
        <v>20.348745579050917</v>
      </c>
      <c r="AU68" s="488">
        <f>AU56/$I$32</f>
        <v>89.549799154454448</v>
      </c>
      <c r="AV68" s="488">
        <f>AV56/$I$34</f>
        <v>8.3803832946296399</v>
      </c>
      <c r="AW68" s="488">
        <f>AW56/$I$30</f>
        <v>2.3353695172153239</v>
      </c>
      <c r="AX68" s="488">
        <f>AX56/$I$32</f>
        <v>32.674519829184412</v>
      </c>
      <c r="AY68" s="488">
        <f>AY56/$I$34</f>
        <v>26.615651296393363</v>
      </c>
      <c r="AZ68" s="488">
        <f>AZ56/$I$32</f>
        <v>5.2946566748997004</v>
      </c>
      <c r="BA68" s="488">
        <f>BA56/$I$28</f>
        <v>20.259422801346812</v>
      </c>
      <c r="BB68" s="488">
        <f>BB56/$I$34</f>
        <v>2.4606772405455941</v>
      </c>
      <c r="BE68" s="20" t="s">
        <v>232</v>
      </c>
    </row>
    <row r="69" spans="3:57" x14ac:dyDescent="0.2">
      <c r="C69" s="487" t="s">
        <v>231</v>
      </c>
      <c r="D69" s="46">
        <v>2009</v>
      </c>
      <c r="E69" s="488">
        <f>E57/$J$32</f>
        <v>13.957695577626641</v>
      </c>
      <c r="F69" s="488">
        <f>F57/$J$34</f>
        <v>2.7245366194597307</v>
      </c>
      <c r="G69" s="488">
        <f>G57/$J$34</f>
        <v>18.973283162425645</v>
      </c>
      <c r="H69" s="488">
        <f>H57/$J$32</f>
        <v>8.1624875203485932</v>
      </c>
      <c r="I69" s="488">
        <f>I57/$J$34</f>
        <v>135.28043734547416</v>
      </c>
      <c r="J69" s="488">
        <f>J57/$J$34</f>
        <v>18.175219950005303</v>
      </c>
      <c r="K69" s="488">
        <f>K57/$J$30</f>
        <v>17.026703596848765</v>
      </c>
      <c r="L69" s="488">
        <f>L57/$J$32</f>
        <v>3.2444212529734338</v>
      </c>
      <c r="M69" s="488">
        <f>M57/$J$32</f>
        <v>62.046846705782841</v>
      </c>
      <c r="N69" s="488">
        <f>N57/$J$32</f>
        <v>29.423785292298238</v>
      </c>
      <c r="O69" s="488">
        <f>O57/$J$34</f>
        <v>4.9013434827448652</v>
      </c>
      <c r="P69" s="488">
        <f>P57/$J$34</f>
        <v>4.3289363525285021</v>
      </c>
      <c r="Q69" s="488">
        <f>Q57/$J$28</f>
        <v>47.382586123109881</v>
      </c>
      <c r="R69" s="488">
        <f>R57/$J$28</f>
        <v>19.389318310086054</v>
      </c>
      <c r="S69" s="488">
        <f>S57/$J$28</f>
        <v>10.464620060920343</v>
      </c>
      <c r="T69" s="488">
        <f>T57/$J$28</f>
        <v>9.7800635040049713</v>
      </c>
      <c r="U69" s="488">
        <f>U57/$J$32</f>
        <v>12.418199208033549</v>
      </c>
      <c r="V69" s="488">
        <f>V57/$J$32</f>
        <v>14.556233690610968</v>
      </c>
      <c r="W69" s="488">
        <f>W57/$J$30</f>
        <v>4.3555293367654793</v>
      </c>
      <c r="X69" s="488">
        <f>X57/$J$32</f>
        <v>25.135714910572922</v>
      </c>
      <c r="Y69" s="488">
        <f>Y57/$J$30</f>
        <v>29.17962608628331</v>
      </c>
      <c r="Z69" s="488">
        <f>Z57/$J$28</f>
        <v>30.153853673094055</v>
      </c>
      <c r="AA69" s="488">
        <f>AA57/$J$28</f>
        <v>19.393782097510449</v>
      </c>
      <c r="AB69" s="488">
        <f>AB57/$J$32</f>
        <v>7.9732542104238657</v>
      </c>
      <c r="AC69" s="488">
        <f>AC57/$J$28</f>
        <v>19.298461077979766</v>
      </c>
      <c r="AD69" s="488">
        <f>AD57/$J$34</f>
        <v>2.9154729474302199</v>
      </c>
      <c r="AE69" s="488">
        <f>AE57/$J$28</f>
        <v>6.3699278646018156</v>
      </c>
      <c r="AF69" s="488">
        <f>AF57/$J$34</f>
        <v>8.708115599113917</v>
      </c>
      <c r="AG69" s="488">
        <f>AG57/$J$30</f>
        <v>5.128927121082663</v>
      </c>
      <c r="AH69" s="488">
        <f>AH57/$J$30</f>
        <v>39.197919252954613</v>
      </c>
      <c r="AI69" s="488">
        <f>AI57/$J$34</f>
        <v>5.8269162637889886</v>
      </c>
      <c r="AJ69" s="488">
        <f>AJ57/$J$30</f>
        <v>82.275717199218562</v>
      </c>
      <c r="AK69" s="488">
        <f>AK57/$J$32</f>
        <v>29.408292883349993</v>
      </c>
      <c r="AL69" s="488">
        <f>AL57/$J$28</f>
        <v>2.3709771927571355</v>
      </c>
      <c r="AM69" s="488">
        <f>AM57/$J$28</f>
        <v>36.489089612501743</v>
      </c>
      <c r="AN69" s="488">
        <f>AN57/$J$32</f>
        <v>11.47071437160036</v>
      </c>
      <c r="AO69" s="488">
        <f>AO57/$J$34</f>
        <v>11.945289598946466</v>
      </c>
      <c r="AP69" s="488">
        <f>AP57/$J$30</f>
        <v>45.80605025101675</v>
      </c>
      <c r="AQ69" s="488">
        <f>AQ57/$J$30</f>
        <v>3.8688635142932979</v>
      </c>
      <c r="AR69" s="488">
        <f>AR57/$J$32</f>
        <v>13.238366562710119</v>
      </c>
      <c r="AS69" s="488">
        <f>AS57/$J$28</f>
        <v>2.8168991552405016</v>
      </c>
      <c r="AT69" s="488">
        <f>AT57/$J$32</f>
        <v>19.331591179291589</v>
      </c>
      <c r="AU69" s="488">
        <f>AU57/$J$32</f>
        <v>81.598217890546039</v>
      </c>
      <c r="AV69" s="488">
        <f>AV57/$J$34</f>
        <v>7.7720642452388207</v>
      </c>
      <c r="AW69" s="488">
        <f>AW57/$J$30</f>
        <v>2.1980403602930494</v>
      </c>
      <c r="AX69" s="488">
        <f>AX57/$J$32</f>
        <v>31.112042907530142</v>
      </c>
      <c r="AY69" s="488">
        <f>AY57/$J$34</f>
        <v>24.722105183093806</v>
      </c>
      <c r="AZ69" s="488">
        <f>AZ57/$J$32</f>
        <v>5.1400562161421348</v>
      </c>
      <c r="BA69" s="488">
        <f>BA57/$J$28</f>
        <v>19.384868961364667</v>
      </c>
      <c r="BB69" s="488">
        <f>BB57/$J$34</f>
        <v>2.1420320786924347</v>
      </c>
      <c r="BE69" s="20" t="s">
        <v>232</v>
      </c>
    </row>
    <row r="70" spans="3:57" x14ac:dyDescent="0.2">
      <c r="C70" s="487" t="s">
        <v>231</v>
      </c>
      <c r="D70" s="46">
        <v>2010</v>
      </c>
      <c r="E70" s="488">
        <f>E58/$K$32</f>
        <v>14.449404543912262</v>
      </c>
      <c r="F70" s="488">
        <f>F58/$K$34</f>
        <v>2.8910469934904506</v>
      </c>
      <c r="G70" s="488">
        <f>G58/$K$34</f>
        <v>19.282010091402046</v>
      </c>
      <c r="H70" s="488">
        <f>H58/$K$32</f>
        <v>8.3441939819657591</v>
      </c>
      <c r="I70" s="488">
        <f>I58/$K$34</f>
        <v>139.82980286463467</v>
      </c>
      <c r="J70" s="488">
        <f>J58/$K$34</f>
        <v>18.648803390489963</v>
      </c>
      <c r="K70" s="488">
        <f>K58/$K$30</f>
        <v>17.553693845757707</v>
      </c>
      <c r="L70" s="488">
        <f>L58/$K$32</f>
        <v>3.2917561306319163</v>
      </c>
      <c r="M70" s="488">
        <f>M58/$K$32</f>
        <v>64.613402316104668</v>
      </c>
      <c r="N70" s="488">
        <f>N58/$K$32</f>
        <v>29.7161071108549</v>
      </c>
      <c r="O70" s="488">
        <f>O58/$K$34</f>
        <v>5.0319153789167972</v>
      </c>
      <c r="P70" s="488">
        <f>P58/$K$34</f>
        <v>4.4614875961868883</v>
      </c>
      <c r="Q70" s="488">
        <f>Q58/$K$28</f>
        <v>48.011804027780776</v>
      </c>
      <c r="R70" s="488">
        <f>R58/$K$28</f>
        <v>19.832949568201762</v>
      </c>
      <c r="S70" s="488">
        <f>S58/$K$28</f>
        <v>10.583091603045265</v>
      </c>
      <c r="T70" s="488">
        <f>T58/$K$28</f>
        <v>9.854763929974057</v>
      </c>
      <c r="U70" s="488">
        <f>U58/$K$32</f>
        <v>12.755562376603701</v>
      </c>
      <c r="V70" s="488">
        <f>V58/$K$32</f>
        <v>15.062943333396461</v>
      </c>
      <c r="W70" s="488">
        <f>W58/$K$30</f>
        <v>4.379585518914074</v>
      </c>
      <c r="X70" s="488">
        <f>X58/$K$32</f>
        <v>25.798920854978697</v>
      </c>
      <c r="Y70" s="488">
        <f>Y58/$K$30</f>
        <v>29.983661488507288</v>
      </c>
      <c r="Z70" s="488">
        <f>Z58/$K$28</f>
        <v>30.823113991835527</v>
      </c>
      <c r="AA70" s="488">
        <f>AA58/$K$28</f>
        <v>20.113949213945954</v>
      </c>
      <c r="AB70" s="488">
        <f>AB58/$K$32</f>
        <v>8.1576200390256055</v>
      </c>
      <c r="AC70" s="488">
        <f>AC58/$K$28</f>
        <v>19.506414623152942</v>
      </c>
      <c r="AD70" s="488">
        <f>AD58/$K$34</f>
        <v>3.0344206064061563</v>
      </c>
      <c r="AE70" s="488">
        <f>AE58/$K$28</f>
        <v>6.4939425743146177</v>
      </c>
      <c r="AF70" s="488">
        <f>AF58/$K$34</f>
        <v>8.7844705461838597</v>
      </c>
      <c r="AG70" s="488">
        <f>AG58/$K$30</f>
        <v>5.2521665402319542</v>
      </c>
      <c r="AH70" s="488">
        <f>AH58/$K$30</f>
        <v>39.843743998660273</v>
      </c>
      <c r="AI70" s="488">
        <f>AI58/$K$34</f>
        <v>6.0645474512777637</v>
      </c>
      <c r="AJ70" s="488">
        <f>AJ58/$K$30</f>
        <v>85.251266470171686</v>
      </c>
      <c r="AK70" s="488">
        <f>AK58/$K$32</f>
        <v>30.193050607075744</v>
      </c>
      <c r="AL70" s="488">
        <f>AL58/$K$28</f>
        <v>2.5910120148002012</v>
      </c>
      <c r="AM70" s="488">
        <f>AM58/$K$28</f>
        <v>37.196880447104242</v>
      </c>
      <c r="AN70" s="488">
        <f>AN58/$K$32</f>
        <v>12.029800063368331</v>
      </c>
      <c r="AO70" s="488">
        <f>AO58/$K$34</f>
        <v>12.190495223197312</v>
      </c>
      <c r="AP70" s="488">
        <f>AP58/$K$30</f>
        <v>47.008260094199279</v>
      </c>
      <c r="AQ70" s="488">
        <f>AQ58/$K$30</f>
        <v>4.0164560205461086</v>
      </c>
      <c r="AR70" s="488">
        <f>AR58/$K$32</f>
        <v>13.497128530512223</v>
      </c>
      <c r="AS70" s="488">
        <f>AS58/$K$28</f>
        <v>2.9449054842820219</v>
      </c>
      <c r="AT70" s="488">
        <f>AT58/$K$32</f>
        <v>20.060385493672506</v>
      </c>
      <c r="AU70" s="488">
        <f>AU58/$K$32</f>
        <v>85.668431850519099</v>
      </c>
      <c r="AV70" s="488">
        <f>AV58/$K$34</f>
        <v>7.9792628827374097</v>
      </c>
      <c r="AW70" s="488">
        <f>AW58/$K$30</f>
        <v>2.2284415810102192</v>
      </c>
      <c r="AX70" s="488">
        <f>AX58/$K$32</f>
        <v>32.060693961284819</v>
      </c>
      <c r="AY70" s="488">
        <f>AY58/$K$34</f>
        <v>25.390473166236085</v>
      </c>
      <c r="AZ70" s="488">
        <f>AZ58/$K$32</f>
        <v>5.250586759295099</v>
      </c>
      <c r="BA70" s="488">
        <f>BA58/$K$28</f>
        <v>19.59691696147593</v>
      </c>
      <c r="BB70" s="488">
        <f>BB58/$K$34</f>
        <v>2.2520816881437673</v>
      </c>
      <c r="BE70" s="20" t="s">
        <v>232</v>
      </c>
    </row>
    <row r="71" spans="3:57" x14ac:dyDescent="0.2">
      <c r="C71" s="34" t="s">
        <v>231</v>
      </c>
      <c r="D71" s="47">
        <v>2011</v>
      </c>
      <c r="E71" s="68">
        <f>E59/$L$32</f>
        <v>14.37175299839288</v>
      </c>
      <c r="F71" s="68">
        <f>F59/$L$34</f>
        <v>2.9831440558474149</v>
      </c>
      <c r="G71" s="68">
        <f>G59/$L$34</f>
        <v>19.635360794402374</v>
      </c>
      <c r="H71" s="68">
        <f>H59/$L$32</f>
        <v>8.5659082369667896</v>
      </c>
      <c r="I71" s="68">
        <f>I59/$L$34</f>
        <v>144.17471065247551</v>
      </c>
      <c r="J71" s="68">
        <f>J59/$L$34</f>
        <v>19.360750031338839</v>
      </c>
      <c r="K71" s="68">
        <f>K59/$L$30</f>
        <v>17.744425481711431</v>
      </c>
      <c r="L71" s="68">
        <f>L59/$L$32</f>
        <v>3.3296283067021446</v>
      </c>
      <c r="M71" s="68">
        <f>M59/$L$32</f>
        <v>65.209382080371157</v>
      </c>
      <c r="N71" s="68">
        <f>N59/$L$32</f>
        <v>30.564801188571256</v>
      </c>
      <c r="O71" s="68">
        <f>O59/$L$34</f>
        <v>5.1474335736432346</v>
      </c>
      <c r="P71" s="68">
        <f>P59/$L$34</f>
        <v>4.5357540932660161</v>
      </c>
      <c r="Q71" s="68">
        <f>Q59/$L$28</f>
        <v>48.583198276189613</v>
      </c>
      <c r="R71" s="68">
        <f>R59/$L$28</f>
        <v>20.284394136817451</v>
      </c>
      <c r="S71" s="68">
        <f>S59/$L$28</f>
        <v>11.146338229651361</v>
      </c>
      <c r="T71" s="68">
        <f>T59/$L$28</f>
        <v>10.345645108366879</v>
      </c>
      <c r="U71" s="68">
        <f>U59/$L$32</f>
        <v>12.92102120267146</v>
      </c>
      <c r="V71" s="68">
        <f>V59/$L$32</f>
        <v>15.134359822254062</v>
      </c>
      <c r="W71" s="68">
        <f>W59/$L$30</f>
        <v>4.4243565042414321</v>
      </c>
      <c r="X71" s="68">
        <f>X59/$L$32</f>
        <v>26.210528583475476</v>
      </c>
      <c r="Y71" s="68">
        <f>Y59/$L$30</f>
        <v>30.683106591480751</v>
      </c>
      <c r="Z71" s="68">
        <f>Z59/$L$28</f>
        <v>31.328536430601993</v>
      </c>
      <c r="AA71" s="68">
        <f>AA59/$L$28</f>
        <v>20.672990724204592</v>
      </c>
      <c r="AB71" s="68">
        <f>AB59/$L$32</f>
        <v>8.210404863629817</v>
      </c>
      <c r="AC71" s="68">
        <f>AC59/$L$28</f>
        <v>19.552420602806396</v>
      </c>
      <c r="AD71" s="68">
        <f>AD59/$L$34</f>
        <v>3.1375803395722941</v>
      </c>
      <c r="AE71" s="68">
        <f>AE59/$L$28</f>
        <v>6.8883681579829137</v>
      </c>
      <c r="AF71" s="68">
        <f>AF59/$L$34</f>
        <v>8.7125538613480096</v>
      </c>
      <c r="AG71" s="68">
        <f>AG59/$L$30</f>
        <v>5.3663853289137542</v>
      </c>
      <c r="AH71" s="68">
        <f>AH59/$L$30</f>
        <v>40.359568375596041</v>
      </c>
      <c r="AI71" s="68">
        <f>AI59/$L$34</f>
        <v>6.1928742060448938</v>
      </c>
      <c r="AJ71" s="68">
        <f>AJ59/$L$30</f>
        <v>86.717543923313102</v>
      </c>
      <c r="AK71" s="68">
        <f>AK59/$L$32</f>
        <v>30.189511438614847</v>
      </c>
      <c r="AL71" s="68">
        <f>AL59/$L$28</f>
        <v>2.7694022622561842</v>
      </c>
      <c r="AM71" s="68">
        <f>AM59/$L$28</f>
        <v>38.213714456027837</v>
      </c>
      <c r="AN71" s="68">
        <f>AN59/$L$32</f>
        <v>12.628070432292496</v>
      </c>
      <c r="AO71" s="68">
        <f>AO59/$L$34</f>
        <v>12.50574944017648</v>
      </c>
      <c r="AP71" s="68">
        <f>AP59/$L$30</f>
        <v>47.825019727032213</v>
      </c>
      <c r="AQ71" s="68">
        <f>AQ59/$L$30</f>
        <v>4.0156151599690713</v>
      </c>
      <c r="AR71" s="68">
        <f>AR59/$L$32</f>
        <v>13.68314784494326</v>
      </c>
      <c r="AS71" s="68">
        <f>AS59/$L$28</f>
        <v>3.1634471890185196</v>
      </c>
      <c r="AT71" s="68">
        <f>AT59/$L$32</f>
        <v>20.353194154078825</v>
      </c>
      <c r="AU71" s="68">
        <f>AU59/$L$32</f>
        <v>90.24189314517902</v>
      </c>
      <c r="AV71" s="68">
        <f>AV59/$L$34</f>
        <v>8.2378715760311714</v>
      </c>
      <c r="AW71" s="68">
        <f>AW59/$L$30</f>
        <v>2.3030480353717979</v>
      </c>
      <c r="AX71" s="68">
        <f>AX59/$L$32</f>
        <v>32.714225462971811</v>
      </c>
      <c r="AY71" s="68">
        <f>AY59/$L$34</f>
        <v>25.960970005731049</v>
      </c>
      <c r="AZ71" s="68">
        <f>AZ59/$L$32</f>
        <v>5.3737658724083301</v>
      </c>
      <c r="BA71" s="68">
        <f>BA59/$L$28</f>
        <v>19.880021280101282</v>
      </c>
      <c r="BB71" s="68">
        <f>BB59/$L$34</f>
        <v>2.3915253905149609</v>
      </c>
      <c r="BE71" s="20" t="s">
        <v>232</v>
      </c>
    </row>
    <row r="72" spans="3:57" x14ac:dyDescent="0.2">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row>
    <row r="73" spans="3:57" ht="32" x14ac:dyDescent="0.2">
      <c r="C73" s="28" t="s">
        <v>663</v>
      </c>
      <c r="D73" s="44" t="s">
        <v>229</v>
      </c>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row>
    <row r="74" spans="3:57" x14ac:dyDescent="0.2">
      <c r="C74" s="34" t="s">
        <v>231</v>
      </c>
      <c r="D74" s="46">
        <v>2002</v>
      </c>
      <c r="E74" s="68">
        <f t="shared" ref="E74:E83" si="61">E50*$B36</f>
        <v>15.768769935734193</v>
      </c>
      <c r="F74" s="68">
        <f t="shared" ref="F74:BB74" si="62">F50*$B36</f>
        <v>2.9287353204273456</v>
      </c>
      <c r="G74" s="68">
        <f t="shared" si="62"/>
        <v>20.037992414886059</v>
      </c>
      <c r="H74" s="68">
        <f t="shared" si="62"/>
        <v>8.834029686594894</v>
      </c>
      <c r="I74" s="68">
        <f t="shared" si="62"/>
        <v>160.65791555360948</v>
      </c>
      <c r="J74" s="68">
        <f t="shared" si="62"/>
        <v>21.013470563965242</v>
      </c>
      <c r="K74" s="68">
        <f t="shared" si="62"/>
        <v>20.152396337122241</v>
      </c>
      <c r="L74" s="68">
        <f t="shared" si="62"/>
        <v>3.7966645096453355</v>
      </c>
      <c r="M74" s="68">
        <f t="shared" si="62"/>
        <v>69.783798477976944</v>
      </c>
      <c r="N74" s="68">
        <f t="shared" si="62"/>
        <v>34.231465098803213</v>
      </c>
      <c r="O74" s="68">
        <f t="shared" si="62"/>
        <v>5.1053184126454996</v>
      </c>
      <c r="P74" s="68">
        <f t="shared" si="62"/>
        <v>4.7763545315591012</v>
      </c>
      <c r="Q74" s="68">
        <f t="shared" si="62"/>
        <v>57.549314752718715</v>
      </c>
      <c r="R74" s="68">
        <f t="shared" si="62"/>
        <v>23.971161534100226</v>
      </c>
      <c r="S74" s="68">
        <f t="shared" si="62"/>
        <v>11.525865536368107</v>
      </c>
      <c r="T74" s="68">
        <f t="shared" si="62"/>
        <v>10.920777082654789</v>
      </c>
      <c r="U74" s="68">
        <f t="shared" si="62"/>
        <v>14.433527626263729</v>
      </c>
      <c r="V74" s="68">
        <f t="shared" si="62"/>
        <v>15.532583438247991</v>
      </c>
      <c r="W74" s="68">
        <f t="shared" si="62"/>
        <v>5.0610687076616205</v>
      </c>
      <c r="X74" s="68">
        <f t="shared" si="62"/>
        <v>27.745859308131593</v>
      </c>
      <c r="Y74" s="68">
        <f t="shared" si="62"/>
        <v>34.275552311601729</v>
      </c>
      <c r="Z74" s="68">
        <f t="shared" si="62"/>
        <v>40.924439862342197</v>
      </c>
      <c r="AA74" s="68">
        <f t="shared" si="62"/>
        <v>22.889068452319794</v>
      </c>
      <c r="AB74" s="68">
        <f t="shared" si="62"/>
        <v>8.9230894051587502</v>
      </c>
      <c r="AC74" s="68">
        <f t="shared" si="62"/>
        <v>22.404847528799387</v>
      </c>
      <c r="AD74" s="68">
        <f t="shared" si="62"/>
        <v>3.1038763175310127</v>
      </c>
      <c r="AE74" s="68">
        <f t="shared" si="62"/>
        <v>7.1294695647576365</v>
      </c>
      <c r="AF74" s="68">
        <f t="shared" si="62"/>
        <v>9.3289067049292314</v>
      </c>
      <c r="AG74" s="68">
        <f t="shared" si="62"/>
        <v>6.0522941938630526</v>
      </c>
      <c r="AH74" s="68">
        <f t="shared" si="62"/>
        <v>46.683061943056991</v>
      </c>
      <c r="AI74" s="68">
        <f t="shared" si="62"/>
        <v>6.4367687441663479</v>
      </c>
      <c r="AJ74" s="68">
        <f t="shared" si="62"/>
        <v>92.984563559784675</v>
      </c>
      <c r="AK74" s="68">
        <f t="shared" si="62"/>
        <v>31.970764231378762</v>
      </c>
      <c r="AL74" s="68">
        <f t="shared" si="62"/>
        <v>2.3284088166566477</v>
      </c>
      <c r="AM74" s="68">
        <f t="shared" si="62"/>
        <v>45.885773909148035</v>
      </c>
      <c r="AN74" s="68">
        <f t="shared" si="62"/>
        <v>12.640541195748401</v>
      </c>
      <c r="AO74" s="68">
        <f t="shared" si="62"/>
        <v>13.90603046999836</v>
      </c>
      <c r="AP74" s="68">
        <f t="shared" si="62"/>
        <v>53.376850244521556</v>
      </c>
      <c r="AQ74" s="68">
        <f t="shared" si="62"/>
        <v>4.683721600415323</v>
      </c>
      <c r="AR74" s="68">
        <f t="shared" si="62"/>
        <v>14.512003139679763</v>
      </c>
      <c r="AS74" s="68">
        <f t="shared" si="62"/>
        <v>2.9269382133996391</v>
      </c>
      <c r="AT74" s="68">
        <f t="shared" si="62"/>
        <v>22.34453936868135</v>
      </c>
      <c r="AU74" s="68">
        <f t="shared" si="62"/>
        <v>85.725038723181584</v>
      </c>
      <c r="AV74" s="68">
        <f t="shared" si="62"/>
        <v>8.1163494956554985</v>
      </c>
      <c r="AW74" s="68">
        <f t="shared" si="62"/>
        <v>2.5315236444887699</v>
      </c>
      <c r="AX74" s="68">
        <f t="shared" si="62"/>
        <v>33.662833860292906</v>
      </c>
      <c r="AY74" s="68">
        <f t="shared" si="62"/>
        <v>27.339899575277336</v>
      </c>
      <c r="AZ74" s="68">
        <f t="shared" si="62"/>
        <v>5.881182922181539</v>
      </c>
      <c r="BA74" s="68">
        <f t="shared" si="62"/>
        <v>22.810925866140224</v>
      </c>
      <c r="BB74" s="68">
        <f t="shared" si="62"/>
        <v>2.1111781701732335</v>
      </c>
    </row>
    <row r="75" spans="3:57" x14ac:dyDescent="0.2">
      <c r="C75" s="34" t="s">
        <v>231</v>
      </c>
      <c r="D75" s="46">
        <v>2003</v>
      </c>
      <c r="E75" s="68">
        <f t="shared" si="61"/>
        <v>15.977290950899068</v>
      </c>
      <c r="F75" s="68">
        <f t="shared" ref="F75:BB75" si="63">F51*$B37</f>
        <v>2.9598580041738689</v>
      </c>
      <c r="G75" s="68">
        <f t="shared" si="63"/>
        <v>20.514174512990643</v>
      </c>
      <c r="H75" s="68">
        <f t="shared" si="63"/>
        <v>9.087459708208609</v>
      </c>
      <c r="I75" s="68">
        <f t="shared" si="63"/>
        <v>162.80992208139045</v>
      </c>
      <c r="J75" s="68">
        <f t="shared" si="63"/>
        <v>20.854090307722711</v>
      </c>
      <c r="K75" s="68">
        <f t="shared" si="63"/>
        <v>19.978022944996624</v>
      </c>
      <c r="L75" s="68">
        <f t="shared" si="63"/>
        <v>3.801176437797757</v>
      </c>
      <c r="M75" s="68">
        <f t="shared" si="63"/>
        <v>71.06574202736202</v>
      </c>
      <c r="N75" s="68">
        <f t="shared" si="63"/>
        <v>34.394026331227067</v>
      </c>
      <c r="O75" s="68">
        <f t="shared" si="63"/>
        <v>5.2079094116741853</v>
      </c>
      <c r="P75" s="68">
        <f t="shared" si="63"/>
        <v>4.831634057280028</v>
      </c>
      <c r="Q75" s="68">
        <f t="shared" si="63"/>
        <v>57.049290420158947</v>
      </c>
      <c r="R75" s="68">
        <f t="shared" si="63"/>
        <v>23.951281323743622</v>
      </c>
      <c r="S75" s="68">
        <f t="shared" si="63"/>
        <v>11.481840892670432</v>
      </c>
      <c r="T75" s="68">
        <f t="shared" si="63"/>
        <v>10.96709213195645</v>
      </c>
      <c r="U75" s="68">
        <f t="shared" si="63"/>
        <v>14.401008690480204</v>
      </c>
      <c r="V75" s="68">
        <f t="shared" si="63"/>
        <v>15.577219478566761</v>
      </c>
      <c r="W75" s="68">
        <f t="shared" si="63"/>
        <v>5.1715013106686625</v>
      </c>
      <c r="X75" s="68">
        <f t="shared" si="63"/>
        <v>28.258872326852945</v>
      </c>
      <c r="Y75" s="68">
        <f t="shared" si="63"/>
        <v>34.130603320044052</v>
      </c>
      <c r="Z75" s="68">
        <f t="shared" si="63"/>
        <v>40.890232287322398</v>
      </c>
      <c r="AA75" s="68">
        <f t="shared" si="63"/>
        <v>23.286330730764366</v>
      </c>
      <c r="AB75" s="68">
        <f t="shared" si="63"/>
        <v>9.0099277997280645</v>
      </c>
      <c r="AC75" s="68">
        <f t="shared" si="63"/>
        <v>22.668609164040433</v>
      </c>
      <c r="AD75" s="68">
        <f t="shared" si="63"/>
        <v>3.2054964353313795</v>
      </c>
      <c r="AE75" s="68">
        <f t="shared" si="63"/>
        <v>7.3995513295670134</v>
      </c>
      <c r="AF75" s="68">
        <f t="shared" si="63"/>
        <v>9.804761420469875</v>
      </c>
      <c r="AG75" s="68">
        <f t="shared" si="63"/>
        <v>6.0486496668704417</v>
      </c>
      <c r="AH75" s="68">
        <f t="shared" si="63"/>
        <v>46.399694785904757</v>
      </c>
      <c r="AI75" s="68">
        <f t="shared" si="63"/>
        <v>6.4624733859037056</v>
      </c>
      <c r="AJ75" s="68">
        <f t="shared" si="63"/>
        <v>92.792411132204151</v>
      </c>
      <c r="AK75" s="68">
        <f t="shared" si="63"/>
        <v>32.116634887179053</v>
      </c>
      <c r="AL75" s="68">
        <f t="shared" si="63"/>
        <v>2.4714254552415786</v>
      </c>
      <c r="AM75" s="68">
        <f t="shared" si="63"/>
        <v>45.839317947394491</v>
      </c>
      <c r="AN75" s="68">
        <f t="shared" si="63"/>
        <v>12.713746134132974</v>
      </c>
      <c r="AO75" s="68">
        <f t="shared" si="63"/>
        <v>13.990907608383575</v>
      </c>
      <c r="AP75" s="68">
        <f t="shared" si="63"/>
        <v>53.568645295322312</v>
      </c>
      <c r="AQ75" s="68">
        <f t="shared" si="63"/>
        <v>4.7607524436896584</v>
      </c>
      <c r="AR75" s="68">
        <f t="shared" si="63"/>
        <v>14.594387458956954</v>
      </c>
      <c r="AS75" s="68">
        <f t="shared" si="63"/>
        <v>3.1032418056937474</v>
      </c>
      <c r="AT75" s="68">
        <f t="shared" si="63"/>
        <v>22.581097626370209</v>
      </c>
      <c r="AU75" s="68">
        <f t="shared" si="63"/>
        <v>86.568126455051853</v>
      </c>
      <c r="AV75" s="68">
        <f t="shared" si="63"/>
        <v>8.1230303530081365</v>
      </c>
      <c r="AW75" s="68">
        <f t="shared" si="63"/>
        <v>2.5757164661979846</v>
      </c>
      <c r="AX75" s="68">
        <f t="shared" si="63"/>
        <v>34.613475987984316</v>
      </c>
      <c r="AY75" s="68">
        <f t="shared" si="63"/>
        <v>27.649501441270715</v>
      </c>
      <c r="AZ75" s="68">
        <f t="shared" si="63"/>
        <v>5.857793216503647</v>
      </c>
      <c r="BA75" s="68">
        <f t="shared" si="63"/>
        <v>22.939659708103207</v>
      </c>
      <c r="BB75" s="68">
        <f t="shared" si="63"/>
        <v>2.1960629744824822</v>
      </c>
    </row>
    <row r="76" spans="3:57" x14ac:dyDescent="0.2">
      <c r="C76" s="34" t="s">
        <v>231</v>
      </c>
      <c r="D76" s="46">
        <v>2004</v>
      </c>
      <c r="E76" s="68">
        <f t="shared" si="61"/>
        <v>16.720093382347446</v>
      </c>
      <c r="F76" s="68">
        <f t="shared" ref="F76:BB76" si="64">F52*$B38</f>
        <v>3.0170343098913341</v>
      </c>
      <c r="G76" s="68">
        <f t="shared" si="64"/>
        <v>21.845445729247697</v>
      </c>
      <c r="H76" s="68">
        <f t="shared" si="64"/>
        <v>9.4594329401253816</v>
      </c>
      <c r="I76" s="68">
        <f t="shared" si="64"/>
        <v>168.99024302487317</v>
      </c>
      <c r="J76" s="68">
        <f t="shared" si="64"/>
        <v>21.313835217556417</v>
      </c>
      <c r="K76" s="68">
        <f t="shared" si="64"/>
        <v>20.872327532251319</v>
      </c>
      <c r="L76" s="68">
        <f t="shared" si="64"/>
        <v>3.9556754466258002</v>
      </c>
      <c r="M76" s="68">
        <f t="shared" si="64"/>
        <v>75.86385241205069</v>
      </c>
      <c r="N76" s="68">
        <f t="shared" si="64"/>
        <v>35.333002588464751</v>
      </c>
      <c r="O76" s="68">
        <f t="shared" si="64"/>
        <v>5.5075514380426283</v>
      </c>
      <c r="P76" s="68">
        <f t="shared" si="64"/>
        <v>5.1541049252354405</v>
      </c>
      <c r="Q76" s="68">
        <f t="shared" si="64"/>
        <v>58.249495958045401</v>
      </c>
      <c r="R76" s="68">
        <f t="shared" si="64"/>
        <v>24.573672643904985</v>
      </c>
      <c r="S76" s="68">
        <f t="shared" si="64"/>
        <v>12.181770424304817</v>
      </c>
      <c r="T76" s="68">
        <f t="shared" si="64"/>
        <v>11.174853118378376</v>
      </c>
      <c r="U76" s="68">
        <f t="shared" si="64"/>
        <v>14.886735885107267</v>
      </c>
      <c r="V76" s="68">
        <f t="shared" si="64"/>
        <v>16.033138672684586</v>
      </c>
      <c r="W76" s="68">
        <f t="shared" si="64"/>
        <v>5.3277237603998318</v>
      </c>
      <c r="X76" s="68">
        <f t="shared" si="64"/>
        <v>29.673743108999716</v>
      </c>
      <c r="Y76" s="68">
        <f t="shared" si="64"/>
        <v>35.031795921135405</v>
      </c>
      <c r="Z76" s="68">
        <f t="shared" si="64"/>
        <v>41.30000044214961</v>
      </c>
      <c r="AA76" s="68">
        <f t="shared" si="64"/>
        <v>23.991079220268873</v>
      </c>
      <c r="AB76" s="68">
        <f t="shared" si="64"/>
        <v>9.3332838685009722</v>
      </c>
      <c r="AC76" s="68">
        <f t="shared" si="64"/>
        <v>23.307394455798271</v>
      </c>
      <c r="AD76" s="68">
        <f t="shared" si="64"/>
        <v>3.3438138845319019</v>
      </c>
      <c r="AE76" s="68">
        <f t="shared" si="64"/>
        <v>7.5333400887698501</v>
      </c>
      <c r="AF76" s="68">
        <f t="shared" si="64"/>
        <v>10.708563511604902</v>
      </c>
      <c r="AG76" s="68">
        <f t="shared" si="64"/>
        <v>6.3055500237935345</v>
      </c>
      <c r="AH76" s="68">
        <f t="shared" si="64"/>
        <v>47.604451320404003</v>
      </c>
      <c r="AI76" s="68">
        <f t="shared" si="64"/>
        <v>6.6872129682111989</v>
      </c>
      <c r="AJ76" s="68">
        <f t="shared" si="64"/>
        <v>96.248869882361362</v>
      </c>
      <c r="AK76" s="68">
        <f t="shared" si="64"/>
        <v>33.71257014318612</v>
      </c>
      <c r="AL76" s="68">
        <f t="shared" si="64"/>
        <v>2.4578557806227357</v>
      </c>
      <c r="AM76" s="68">
        <f t="shared" si="64"/>
        <v>46.517564015947329</v>
      </c>
      <c r="AN76" s="68">
        <f t="shared" si="64"/>
        <v>13.166733078076064</v>
      </c>
      <c r="AO76" s="68">
        <f t="shared" si="64"/>
        <v>14.42128163405823</v>
      </c>
      <c r="AP76" s="68">
        <f t="shared" si="64"/>
        <v>55.035258878324029</v>
      </c>
      <c r="AQ76" s="68">
        <f t="shared" si="64"/>
        <v>4.8741018187517398</v>
      </c>
      <c r="AR76" s="68">
        <f t="shared" si="64"/>
        <v>15.107063163134576</v>
      </c>
      <c r="AS76" s="68">
        <f t="shared" si="64"/>
        <v>3.2125099788840892</v>
      </c>
      <c r="AT76" s="68">
        <f t="shared" si="64"/>
        <v>23.367692101932288</v>
      </c>
      <c r="AU76" s="68">
        <f t="shared" si="64"/>
        <v>89.01606285707021</v>
      </c>
      <c r="AV76" s="68">
        <f t="shared" si="64"/>
        <v>8.4589274017553624</v>
      </c>
      <c r="AW76" s="68">
        <f t="shared" si="64"/>
        <v>2.6746327009208688</v>
      </c>
      <c r="AX76" s="68">
        <f t="shared" si="64"/>
        <v>36.076674282031199</v>
      </c>
      <c r="AY76" s="68">
        <f t="shared" si="64"/>
        <v>29.006281354200329</v>
      </c>
      <c r="AZ76" s="68">
        <f t="shared" si="64"/>
        <v>5.9257969022903296</v>
      </c>
      <c r="BA76" s="68">
        <f t="shared" si="64"/>
        <v>23.547344090188073</v>
      </c>
      <c r="BB76" s="68">
        <f t="shared" si="64"/>
        <v>2.3223862207899129</v>
      </c>
    </row>
    <row r="77" spans="3:57" x14ac:dyDescent="0.2">
      <c r="C77" s="34" t="s">
        <v>231</v>
      </c>
      <c r="D77" s="46">
        <v>2005</v>
      </c>
      <c r="E77" s="68">
        <f t="shared" si="61"/>
        <v>16.853882464341254</v>
      </c>
      <c r="F77" s="68">
        <f t="shared" ref="F77:BB77" si="65">F53*$B39</f>
        <v>3.051210236015947</v>
      </c>
      <c r="G77" s="68">
        <f t="shared" si="65"/>
        <v>23.126771031706927</v>
      </c>
      <c r="H77" s="68">
        <f t="shared" si="65"/>
        <v>9.5074709340546466</v>
      </c>
      <c r="I77" s="68">
        <f t="shared" si="65"/>
        <v>170.57309251106565</v>
      </c>
      <c r="J77" s="68">
        <f t="shared" si="65"/>
        <v>21.734229019658258</v>
      </c>
      <c r="K77" s="68">
        <f t="shared" si="65"/>
        <v>20.951285086981521</v>
      </c>
      <c r="L77" s="68">
        <f t="shared" si="65"/>
        <v>3.9653011313271072</v>
      </c>
      <c r="M77" s="68">
        <f t="shared" si="65"/>
        <v>79.069039043827246</v>
      </c>
      <c r="N77" s="68">
        <f t="shared" si="65"/>
        <v>35.988085073443735</v>
      </c>
      <c r="O77" s="68">
        <f t="shared" si="65"/>
        <v>5.6358693823548824</v>
      </c>
      <c r="P77" s="68">
        <f t="shared" si="65"/>
        <v>5.2299580470146934</v>
      </c>
      <c r="Q77" s="68">
        <f t="shared" si="65"/>
        <v>58.082802544772534</v>
      </c>
      <c r="R77" s="68">
        <f t="shared" si="65"/>
        <v>24.148010672787766</v>
      </c>
      <c r="S77" s="68">
        <f t="shared" si="65"/>
        <v>11.951680097754069</v>
      </c>
      <c r="T77" s="68">
        <f t="shared" si="65"/>
        <v>11.208697600452391</v>
      </c>
      <c r="U77" s="68">
        <f t="shared" si="65"/>
        <v>14.91811394186027</v>
      </c>
      <c r="V77" s="68">
        <f t="shared" si="65"/>
        <v>16.422252610290002</v>
      </c>
      <c r="W77" s="68">
        <f t="shared" si="65"/>
        <v>5.1968813620086145</v>
      </c>
      <c r="X77" s="68">
        <f t="shared" si="65"/>
        <v>29.939806401462729</v>
      </c>
      <c r="Y77" s="68">
        <f t="shared" si="65"/>
        <v>34.926315897876592</v>
      </c>
      <c r="Z77" s="68">
        <f t="shared" si="65"/>
        <v>40.465111191883359</v>
      </c>
      <c r="AA77" s="68">
        <f t="shared" si="65"/>
        <v>23.606610631541052</v>
      </c>
      <c r="AB77" s="68">
        <f t="shared" si="65"/>
        <v>9.5214004799185705</v>
      </c>
      <c r="AC77" s="68">
        <f t="shared" si="65"/>
        <v>23.133589198416637</v>
      </c>
      <c r="AD77" s="68">
        <f t="shared" si="65"/>
        <v>3.3871955345579301</v>
      </c>
      <c r="AE77" s="68">
        <f t="shared" si="65"/>
        <v>7.4633987752881641</v>
      </c>
      <c r="AF77" s="68">
        <f t="shared" si="65"/>
        <v>11.470619512432259</v>
      </c>
      <c r="AG77" s="68">
        <f t="shared" si="65"/>
        <v>6.2316834225384774</v>
      </c>
      <c r="AH77" s="68">
        <f t="shared" si="65"/>
        <v>47.338825044453031</v>
      </c>
      <c r="AI77" s="68">
        <f t="shared" si="65"/>
        <v>6.8683550286306705</v>
      </c>
      <c r="AJ77" s="68">
        <f t="shared" si="65"/>
        <v>97.012012219315196</v>
      </c>
      <c r="AK77" s="68">
        <f t="shared" si="65"/>
        <v>34.354608196646652</v>
      </c>
      <c r="AL77" s="68">
        <f t="shared" si="65"/>
        <v>2.4923779819119161</v>
      </c>
      <c r="AM77" s="68">
        <f t="shared" si="65"/>
        <v>45.861050939487107</v>
      </c>
      <c r="AN77" s="68">
        <f t="shared" si="65"/>
        <v>13.51266068633309</v>
      </c>
      <c r="AO77" s="68">
        <f t="shared" si="65"/>
        <v>14.36488546625826</v>
      </c>
      <c r="AP77" s="68">
        <f t="shared" si="65"/>
        <v>54.644319999826592</v>
      </c>
      <c r="AQ77" s="68">
        <f t="shared" si="65"/>
        <v>4.7638321153822227</v>
      </c>
      <c r="AR77" s="68">
        <f t="shared" si="65"/>
        <v>15.313924475002594</v>
      </c>
      <c r="AS77" s="68">
        <f t="shared" si="65"/>
        <v>3.1684581957494133</v>
      </c>
      <c r="AT77" s="68">
        <f t="shared" si="65"/>
        <v>23.215967723389536</v>
      </c>
      <c r="AU77" s="68">
        <f t="shared" si="65"/>
        <v>92.426751247342679</v>
      </c>
      <c r="AV77" s="68">
        <f t="shared" si="65"/>
        <v>8.8384258641357931</v>
      </c>
      <c r="AW77" s="68">
        <f t="shared" si="65"/>
        <v>2.6206174988153021</v>
      </c>
      <c r="AX77" s="68">
        <f t="shared" si="65"/>
        <v>36.865937842737715</v>
      </c>
      <c r="AY77" s="68">
        <f t="shared" si="65"/>
        <v>28.782639457527125</v>
      </c>
      <c r="AZ77" s="68">
        <f t="shared" si="65"/>
        <v>5.8692266601622949</v>
      </c>
      <c r="BA77" s="68">
        <f t="shared" si="65"/>
        <v>23.286196990724111</v>
      </c>
      <c r="BB77" s="68">
        <f t="shared" si="65"/>
        <v>2.4628001765718222</v>
      </c>
    </row>
    <row r="78" spans="3:57" x14ac:dyDescent="0.2">
      <c r="C78" s="34" t="s">
        <v>231</v>
      </c>
      <c r="D78" s="46">
        <v>2006</v>
      </c>
      <c r="E78" s="68">
        <f t="shared" si="61"/>
        <v>16.632342815373757</v>
      </c>
      <c r="F78" s="68">
        <f t="shared" ref="F78:BB78" si="66">F54*$B40</f>
        <v>3.0105191871421804</v>
      </c>
      <c r="G78" s="68">
        <f t="shared" si="66"/>
        <v>23.864174161476409</v>
      </c>
      <c r="H78" s="68">
        <f t="shared" si="66"/>
        <v>9.458232546508631</v>
      </c>
      <c r="I78" s="68">
        <f t="shared" si="66"/>
        <v>170.46285331262567</v>
      </c>
      <c r="J78" s="68">
        <f t="shared" si="66"/>
        <v>21.801599824029218</v>
      </c>
      <c r="K78" s="68">
        <f t="shared" si="66"/>
        <v>21.026465900969644</v>
      </c>
      <c r="L78" s="68">
        <f t="shared" si="66"/>
        <v>3.9415907949948203</v>
      </c>
      <c r="M78" s="68">
        <f t="shared" si="66"/>
        <v>79.952179581934729</v>
      </c>
      <c r="N78" s="68">
        <f t="shared" si="66"/>
        <v>35.815695204245202</v>
      </c>
      <c r="O78" s="68">
        <f t="shared" si="66"/>
        <v>5.6395541605633115</v>
      </c>
      <c r="P78" s="68">
        <f t="shared" si="66"/>
        <v>5.345919644977787</v>
      </c>
      <c r="Q78" s="68">
        <f t="shared" si="66"/>
        <v>57.774798248149047</v>
      </c>
      <c r="R78" s="68">
        <f t="shared" si="66"/>
        <v>23.820171155022216</v>
      </c>
      <c r="S78" s="68">
        <f t="shared" si="66"/>
        <v>11.717527263515075</v>
      </c>
      <c r="T78" s="68">
        <f t="shared" si="66"/>
        <v>11.299176182192488</v>
      </c>
      <c r="U78" s="68">
        <f t="shared" si="66"/>
        <v>14.70934347334633</v>
      </c>
      <c r="V78" s="68">
        <f t="shared" si="66"/>
        <v>16.229020802624103</v>
      </c>
      <c r="W78" s="68">
        <f t="shared" si="66"/>
        <v>5.1316584742334381</v>
      </c>
      <c r="X78" s="68">
        <f t="shared" si="66"/>
        <v>29.678990605364099</v>
      </c>
      <c r="Y78" s="68">
        <f t="shared" si="66"/>
        <v>34.973157782708043</v>
      </c>
      <c r="Z78" s="68">
        <f t="shared" si="66"/>
        <v>38.620580090853224</v>
      </c>
      <c r="AA78" s="68">
        <f t="shared" si="66"/>
        <v>23.234785404234664</v>
      </c>
      <c r="AB78" s="68">
        <f t="shared" si="66"/>
        <v>9.2508283080117302</v>
      </c>
      <c r="AC78" s="68">
        <f t="shared" si="66"/>
        <v>22.854990754262239</v>
      </c>
      <c r="AD78" s="68">
        <f t="shared" si="66"/>
        <v>3.4076215771837961</v>
      </c>
      <c r="AE78" s="68">
        <f t="shared" si="66"/>
        <v>7.2526956735675787</v>
      </c>
      <c r="AF78" s="68">
        <f t="shared" si="66"/>
        <v>11.43244151759504</v>
      </c>
      <c r="AG78" s="68">
        <f t="shared" si="66"/>
        <v>6.1970733641623212</v>
      </c>
      <c r="AH78" s="68">
        <f t="shared" si="66"/>
        <v>47.361755052387231</v>
      </c>
      <c r="AI78" s="68">
        <f t="shared" si="66"/>
        <v>6.8278719101301171</v>
      </c>
      <c r="AJ78" s="68">
        <f t="shared" si="66"/>
        <v>97.323003973476617</v>
      </c>
      <c r="AK78" s="68">
        <f t="shared" si="66"/>
        <v>34.275363748240714</v>
      </c>
      <c r="AL78" s="68">
        <f t="shared" si="66"/>
        <v>2.42533806660275</v>
      </c>
      <c r="AM78" s="68">
        <f t="shared" si="66"/>
        <v>44.914774949693239</v>
      </c>
      <c r="AN78" s="68">
        <f t="shared" si="66"/>
        <v>13.788286583519993</v>
      </c>
      <c r="AO78" s="68">
        <f t="shared" si="66"/>
        <v>14.457508551176668</v>
      </c>
      <c r="AP78" s="68">
        <f t="shared" si="66"/>
        <v>54.207066802780034</v>
      </c>
      <c r="AQ78" s="68">
        <f t="shared" si="66"/>
        <v>4.6903083172241837</v>
      </c>
      <c r="AR78" s="68">
        <f t="shared" si="66"/>
        <v>15.412644221473951</v>
      </c>
      <c r="AS78" s="68">
        <f t="shared" si="66"/>
        <v>3.0188361562099426</v>
      </c>
      <c r="AT78" s="68">
        <f t="shared" si="66"/>
        <v>22.917932176496166</v>
      </c>
      <c r="AU78" s="68">
        <f t="shared" si="66"/>
        <v>94.204819263388657</v>
      </c>
      <c r="AV78" s="68">
        <f t="shared" si="66"/>
        <v>9.1261649461391769</v>
      </c>
      <c r="AW78" s="68">
        <f t="shared" si="66"/>
        <v>2.6036643468422627</v>
      </c>
      <c r="AX78" s="68">
        <f t="shared" si="66"/>
        <v>36.70494777880841</v>
      </c>
      <c r="AY78" s="68">
        <f t="shared" si="66"/>
        <v>29.070841558409104</v>
      </c>
      <c r="AZ78" s="68">
        <f t="shared" si="66"/>
        <v>5.8665169581752101</v>
      </c>
      <c r="BA78" s="68">
        <f t="shared" si="66"/>
        <v>23.008506071651478</v>
      </c>
      <c r="BB78" s="68">
        <f t="shared" si="66"/>
        <v>2.636660974351086</v>
      </c>
    </row>
    <row r="79" spans="3:57" x14ac:dyDescent="0.2">
      <c r="C79" s="34" t="s">
        <v>231</v>
      </c>
      <c r="D79" s="46">
        <v>2007</v>
      </c>
      <c r="E79" s="68">
        <f t="shared" si="61"/>
        <v>16.328882744807554</v>
      </c>
      <c r="F79" s="68">
        <f t="shared" ref="F79:BB79" si="67">F55*$B41</f>
        <v>3.0347376429353847</v>
      </c>
      <c r="G79" s="68">
        <f t="shared" si="67"/>
        <v>23.590883183123282</v>
      </c>
      <c r="H79" s="68">
        <f t="shared" si="67"/>
        <v>9.4739739256026745</v>
      </c>
      <c r="I79" s="68">
        <f t="shared" si="67"/>
        <v>166.85106493012063</v>
      </c>
      <c r="J79" s="68">
        <f t="shared" si="67"/>
        <v>21.620314002854354</v>
      </c>
      <c r="K79" s="68">
        <f t="shared" si="67"/>
        <v>20.946984321291126</v>
      </c>
      <c r="L79" s="68">
        <f t="shared" si="67"/>
        <v>3.8146841330069936</v>
      </c>
      <c r="M79" s="68">
        <f t="shared" si="67"/>
        <v>78.042353157366051</v>
      </c>
      <c r="N79" s="68">
        <f t="shared" si="67"/>
        <v>35.448442225458123</v>
      </c>
      <c r="O79" s="68">
        <f t="shared" si="67"/>
        <v>5.6188633763772016</v>
      </c>
      <c r="P79" s="68">
        <f t="shared" si="67"/>
        <v>5.3033806790966755</v>
      </c>
      <c r="Q79" s="68">
        <f t="shared" si="67"/>
        <v>57.236213433947164</v>
      </c>
      <c r="R79" s="68">
        <f t="shared" si="67"/>
        <v>23.144116086054165</v>
      </c>
      <c r="S79" s="68">
        <f t="shared" si="67"/>
        <v>11.783406742085914</v>
      </c>
      <c r="T79" s="68">
        <f t="shared" si="67"/>
        <v>11.270027016599613</v>
      </c>
      <c r="U79" s="68">
        <f t="shared" si="67"/>
        <v>14.387224954187248</v>
      </c>
      <c r="V79" s="68">
        <f t="shared" si="67"/>
        <v>16.707389756662803</v>
      </c>
      <c r="W79" s="68">
        <f t="shared" si="67"/>
        <v>5.0257021399741566</v>
      </c>
      <c r="X79" s="68">
        <f t="shared" si="67"/>
        <v>29.105533905268718</v>
      </c>
      <c r="Y79" s="68">
        <f t="shared" si="67"/>
        <v>34.473256160472836</v>
      </c>
      <c r="Z79" s="68">
        <f t="shared" si="67"/>
        <v>37.176870025237037</v>
      </c>
      <c r="AA79" s="68">
        <f t="shared" si="67"/>
        <v>23.096319255072398</v>
      </c>
      <c r="AB79" s="68">
        <f t="shared" si="67"/>
        <v>9.2103756121743618</v>
      </c>
      <c r="AC79" s="68">
        <f t="shared" si="67"/>
        <v>22.493976649260652</v>
      </c>
      <c r="AD79" s="68">
        <f t="shared" si="67"/>
        <v>3.4323255896376197</v>
      </c>
      <c r="AE79" s="68">
        <f t="shared" si="67"/>
        <v>7.3121615356449388</v>
      </c>
      <c r="AF79" s="68">
        <f t="shared" si="67"/>
        <v>11.334589789405204</v>
      </c>
      <c r="AG79" s="68">
        <f t="shared" si="67"/>
        <v>6.073745427336795</v>
      </c>
      <c r="AH79" s="68">
        <f t="shared" si="67"/>
        <v>46.864084180293936</v>
      </c>
      <c r="AI79" s="68">
        <f t="shared" si="67"/>
        <v>6.784083108257791</v>
      </c>
      <c r="AJ79" s="68">
        <f t="shared" si="67"/>
        <v>98.543330918547795</v>
      </c>
      <c r="AK79" s="68">
        <f t="shared" si="67"/>
        <v>34.112721540320614</v>
      </c>
      <c r="AL79" s="68">
        <f t="shared" si="67"/>
        <v>2.5153267345752224</v>
      </c>
      <c r="AM79" s="68">
        <f t="shared" si="67"/>
        <v>43.657871956012237</v>
      </c>
      <c r="AN79" s="68">
        <f t="shared" si="67"/>
        <v>13.426302130100618</v>
      </c>
      <c r="AO79" s="68">
        <f t="shared" si="67"/>
        <v>14.21095870203356</v>
      </c>
      <c r="AP79" s="68">
        <f t="shared" si="67"/>
        <v>53.495801478281045</v>
      </c>
      <c r="AQ79" s="68">
        <f t="shared" si="67"/>
        <v>4.5994708206447301</v>
      </c>
      <c r="AR79" s="68">
        <f t="shared" si="67"/>
        <v>15.333125706850954</v>
      </c>
      <c r="AS79" s="68">
        <f t="shared" si="67"/>
        <v>3.1393160076193967</v>
      </c>
      <c r="AT79" s="68">
        <f t="shared" si="67"/>
        <v>22.502184177275524</v>
      </c>
      <c r="AU79" s="68">
        <f t="shared" si="67"/>
        <v>93.712034013193389</v>
      </c>
      <c r="AV79" s="68">
        <f t="shared" si="67"/>
        <v>9.3200694437966938</v>
      </c>
      <c r="AW79" s="68">
        <f t="shared" si="67"/>
        <v>2.5717401048242285</v>
      </c>
      <c r="AX79" s="68">
        <f t="shared" si="67"/>
        <v>36.308117113642382</v>
      </c>
      <c r="AY79" s="68">
        <f t="shared" si="67"/>
        <v>29.526292259428292</v>
      </c>
      <c r="AZ79" s="68">
        <f t="shared" si="67"/>
        <v>5.7114325947697928</v>
      </c>
      <c r="BA79" s="68">
        <f t="shared" si="67"/>
        <v>22.546055886713404</v>
      </c>
      <c r="BB79" s="68">
        <f t="shared" si="67"/>
        <v>2.6118066764623986</v>
      </c>
    </row>
    <row r="80" spans="3:57" x14ac:dyDescent="0.2">
      <c r="C80" s="34" t="s">
        <v>231</v>
      </c>
      <c r="D80" s="46">
        <v>2008</v>
      </c>
      <c r="E80" s="68">
        <f t="shared" si="61"/>
        <v>14.664372265434009</v>
      </c>
      <c r="F80" s="68">
        <f t="shared" ref="F80:BB80" si="68">F56*$B42</f>
        <v>2.8621559573729343</v>
      </c>
      <c r="G80" s="68">
        <f t="shared" si="68"/>
        <v>20.718882998435468</v>
      </c>
      <c r="H80" s="68">
        <f t="shared" si="68"/>
        <v>8.5835316640117121</v>
      </c>
      <c r="I80" s="68">
        <f t="shared" si="68"/>
        <v>147.21451872521229</v>
      </c>
      <c r="J80" s="68">
        <f t="shared" si="68"/>
        <v>19.573778067985774</v>
      </c>
      <c r="K80" s="68">
        <f t="shared" si="68"/>
        <v>18.350777209387154</v>
      </c>
      <c r="L80" s="68">
        <f t="shared" si="68"/>
        <v>3.3819934439489643</v>
      </c>
      <c r="M80" s="68">
        <f t="shared" si="68"/>
        <v>67.894702932089515</v>
      </c>
      <c r="N80" s="68">
        <f t="shared" si="68"/>
        <v>31.346771644509509</v>
      </c>
      <c r="O80" s="68">
        <f t="shared" si="68"/>
        <v>5.0928512095042864</v>
      </c>
      <c r="P80" s="68">
        <f t="shared" si="68"/>
        <v>4.6406776510437142</v>
      </c>
      <c r="Q80" s="68">
        <f t="shared" si="68"/>
        <v>50.947494434218775</v>
      </c>
      <c r="R80" s="68">
        <f t="shared" si="68"/>
        <v>20.718101220807359</v>
      </c>
      <c r="S80" s="68">
        <f t="shared" si="68"/>
        <v>10.972801981953564</v>
      </c>
      <c r="T80" s="68">
        <f t="shared" si="68"/>
        <v>10.513795224061912</v>
      </c>
      <c r="U80" s="68">
        <f t="shared" si="68"/>
        <v>12.991554893628948</v>
      </c>
      <c r="V80" s="68">
        <f t="shared" si="68"/>
        <v>15.462210595908806</v>
      </c>
      <c r="W80" s="68">
        <f t="shared" si="68"/>
        <v>4.4978670660865934</v>
      </c>
      <c r="X80" s="68">
        <f t="shared" si="68"/>
        <v>26.10406223124869</v>
      </c>
      <c r="Y80" s="68">
        <f t="shared" si="68"/>
        <v>30.733081739845218</v>
      </c>
      <c r="Z80" s="68">
        <f t="shared" si="68"/>
        <v>32.654192774574355</v>
      </c>
      <c r="AA80" s="68">
        <f t="shared" si="68"/>
        <v>20.840492810709055</v>
      </c>
      <c r="AB80" s="68">
        <f t="shared" si="68"/>
        <v>8.3348640352645873</v>
      </c>
      <c r="AC80" s="68">
        <f t="shared" si="68"/>
        <v>20.422983993465799</v>
      </c>
      <c r="AD80" s="68">
        <f t="shared" si="68"/>
        <v>3.1246220488684373</v>
      </c>
      <c r="AE80" s="68">
        <f t="shared" si="68"/>
        <v>6.7126708457644835</v>
      </c>
      <c r="AF80" s="68">
        <f t="shared" si="68"/>
        <v>9.7733799682242211</v>
      </c>
      <c r="AG80" s="68">
        <f t="shared" si="68"/>
        <v>5.3858318054800254</v>
      </c>
      <c r="AH80" s="68">
        <f t="shared" si="68"/>
        <v>41.639262655712187</v>
      </c>
      <c r="AI80" s="68">
        <f t="shared" si="68"/>
        <v>6.1932006849278389</v>
      </c>
      <c r="AJ80" s="68">
        <f t="shared" si="68"/>
        <v>87.182724815126534</v>
      </c>
      <c r="AK80" s="68">
        <f t="shared" si="68"/>
        <v>30.675072124484412</v>
      </c>
      <c r="AL80" s="68">
        <f t="shared" si="68"/>
        <v>2.4791028109349509</v>
      </c>
      <c r="AM80" s="68">
        <f t="shared" si="68"/>
        <v>38.641989941434851</v>
      </c>
      <c r="AN80" s="68">
        <f t="shared" si="68"/>
        <v>12.734656788956285</v>
      </c>
      <c r="AO80" s="68">
        <f t="shared" si="68"/>
        <v>12.780556551733946</v>
      </c>
      <c r="AP80" s="68">
        <f t="shared" si="68"/>
        <v>47.914009101443206</v>
      </c>
      <c r="AQ80" s="68">
        <f t="shared" si="68"/>
        <v>4.0710973610458057</v>
      </c>
      <c r="AR80" s="68">
        <f t="shared" si="68"/>
        <v>13.84879458255595</v>
      </c>
      <c r="AS80" s="68">
        <f t="shared" si="68"/>
        <v>2.9743140716670156</v>
      </c>
      <c r="AT80" s="68">
        <f t="shared" si="68"/>
        <v>20.200772302505751</v>
      </c>
      <c r="AU80" s="68">
        <f t="shared" si="68"/>
        <v>88.898605342857138</v>
      </c>
      <c r="AV80" s="68">
        <f t="shared" si="68"/>
        <v>8.4152641971888738</v>
      </c>
      <c r="AW80" s="68">
        <f t="shared" si="68"/>
        <v>2.3109615979251199</v>
      </c>
      <c r="AX80" s="68">
        <f t="shared" si="68"/>
        <v>32.436915219117338</v>
      </c>
      <c r="AY80" s="68">
        <f t="shared" si="68"/>
        <v>26.726431186379411</v>
      </c>
      <c r="AZ80" s="68">
        <f t="shared" si="68"/>
        <v>5.2561546604476046</v>
      </c>
      <c r="BA80" s="68">
        <f t="shared" si="68"/>
        <v>20.15133254512445</v>
      </c>
      <c r="BB80" s="68">
        <f t="shared" si="68"/>
        <v>2.4709190922652162</v>
      </c>
    </row>
    <row r="81" spans="3:54" x14ac:dyDescent="0.2">
      <c r="C81" s="34" t="s">
        <v>231</v>
      </c>
      <c r="D81" s="46">
        <v>2009</v>
      </c>
      <c r="E81" s="68">
        <f t="shared" si="61"/>
        <v>13.933386542729325</v>
      </c>
      <c r="F81" s="68">
        <f t="shared" ref="F81:BB81" si="69">F57*$B43</f>
        <v>2.7518209101724862</v>
      </c>
      <c r="G81" s="68">
        <f t="shared" si="69"/>
        <v>19.163287058824622</v>
      </c>
      <c r="H81" s="68">
        <f t="shared" si="69"/>
        <v>8.1482715494615992</v>
      </c>
      <c r="I81" s="68">
        <f t="shared" si="69"/>
        <v>136.63517442403636</v>
      </c>
      <c r="J81" s="68">
        <f t="shared" si="69"/>
        <v>18.357231812625287</v>
      </c>
      <c r="K81" s="68">
        <f t="shared" si="69"/>
        <v>17.013502438464755</v>
      </c>
      <c r="L81" s="68">
        <f t="shared" si="69"/>
        <v>3.2387706963309357</v>
      </c>
      <c r="M81" s="68">
        <f t="shared" si="69"/>
        <v>61.938784529369066</v>
      </c>
      <c r="N81" s="68">
        <f t="shared" si="69"/>
        <v>29.372540169526815</v>
      </c>
      <c r="O81" s="68">
        <f t="shared" si="69"/>
        <v>4.9504269413818793</v>
      </c>
      <c r="P81" s="68">
        <f t="shared" si="69"/>
        <v>4.3722875620794399</v>
      </c>
      <c r="Q81" s="68">
        <f t="shared" si="69"/>
        <v>47.277601865288318</v>
      </c>
      <c r="R81" s="68">
        <f t="shared" si="69"/>
        <v>19.346357945129157</v>
      </c>
      <c r="S81" s="68">
        <f t="shared" si="69"/>
        <v>10.441433897809155</v>
      </c>
      <c r="T81" s="68">
        <f t="shared" si="69"/>
        <v>9.7583940935226483</v>
      </c>
      <c r="U81" s="68">
        <f t="shared" si="69"/>
        <v>12.396571394457089</v>
      </c>
      <c r="V81" s="68">
        <f t="shared" si="69"/>
        <v>14.530882228344822</v>
      </c>
      <c r="W81" s="68">
        <f t="shared" si="69"/>
        <v>4.352152404037791</v>
      </c>
      <c r="X81" s="68">
        <f t="shared" si="69"/>
        <v>25.091937987116481</v>
      </c>
      <c r="Y81" s="68">
        <f t="shared" si="69"/>
        <v>29.157002513648703</v>
      </c>
      <c r="Z81" s="68">
        <f t="shared" si="69"/>
        <v>30.0870426311618</v>
      </c>
      <c r="AA81" s="68">
        <f t="shared" si="69"/>
        <v>19.350811842265831</v>
      </c>
      <c r="AB81" s="68">
        <f t="shared" si="69"/>
        <v>7.9593678125032055</v>
      </c>
      <c r="AC81" s="68">
        <f t="shared" si="69"/>
        <v>19.255702022825918</v>
      </c>
      <c r="AD81" s="68">
        <f t="shared" si="69"/>
        <v>2.9446693292643662</v>
      </c>
      <c r="AE81" s="68">
        <f t="shared" si="69"/>
        <v>6.3558141953414555</v>
      </c>
      <c r="AF81" s="68">
        <f t="shared" si="69"/>
        <v>8.7953211649593186</v>
      </c>
      <c r="AG81" s="68">
        <f t="shared" si="69"/>
        <v>5.1249505569238787</v>
      </c>
      <c r="AH81" s="68">
        <f t="shared" si="69"/>
        <v>39.167528288700225</v>
      </c>
      <c r="AI81" s="68">
        <f t="shared" si="69"/>
        <v>5.8852686735766131</v>
      </c>
      <c r="AJ81" s="68">
        <f t="shared" si="69"/>
        <v>82.21192711984547</v>
      </c>
      <c r="AK81" s="68">
        <f t="shared" si="69"/>
        <v>29.357074742504611</v>
      </c>
      <c r="AL81" s="68">
        <f t="shared" si="69"/>
        <v>2.3657238855559051</v>
      </c>
      <c r="AM81" s="68">
        <f t="shared" si="69"/>
        <v>36.408241767227963</v>
      </c>
      <c r="AN81" s="68">
        <f t="shared" si="69"/>
        <v>11.450736718813367</v>
      </c>
      <c r="AO81" s="68">
        <f t="shared" si="69"/>
        <v>12.064913153182394</v>
      </c>
      <c r="AP81" s="68">
        <f t="shared" si="69"/>
        <v>45.770535864989526</v>
      </c>
      <c r="AQ81" s="68">
        <f t="shared" si="69"/>
        <v>3.8658639037270013</v>
      </c>
      <c r="AR81" s="68">
        <f t="shared" si="69"/>
        <v>13.215310327318926</v>
      </c>
      <c r="AS81" s="68">
        <f t="shared" si="69"/>
        <v>2.8106578313414059</v>
      </c>
      <c r="AT81" s="68">
        <f t="shared" si="69"/>
        <v>19.297922847582786</v>
      </c>
      <c r="AU81" s="68">
        <f t="shared" si="69"/>
        <v>81.456104608648729</v>
      </c>
      <c r="AV81" s="68">
        <f t="shared" si="69"/>
        <v>7.8498959245015349</v>
      </c>
      <c r="AW81" s="68">
        <f t="shared" si="69"/>
        <v>2.196336173762425</v>
      </c>
      <c r="AX81" s="68">
        <f t="shared" si="69"/>
        <v>31.057857477524184</v>
      </c>
      <c r="AY81" s="68">
        <f t="shared" si="69"/>
        <v>24.969679431143593</v>
      </c>
      <c r="AZ81" s="68">
        <f t="shared" si="69"/>
        <v>5.1311041792362255</v>
      </c>
      <c r="BA81" s="68">
        <f t="shared" si="69"/>
        <v>19.341918454704068</v>
      </c>
      <c r="BB81" s="68">
        <f t="shared" si="69"/>
        <v>2.1634830019553717</v>
      </c>
    </row>
    <row r="82" spans="3:54" x14ac:dyDescent="0.2">
      <c r="C82" s="34" t="s">
        <v>231</v>
      </c>
      <c r="D82" s="46">
        <v>2010</v>
      </c>
      <c r="E82" s="68">
        <f t="shared" si="61"/>
        <v>14.387285151389042</v>
      </c>
      <c r="F82" s="68">
        <f t="shared" ref="F82:BB82" si="70">F58*$B44</f>
        <v>2.8955470301079198</v>
      </c>
      <c r="G82" s="68">
        <f t="shared" si="70"/>
        <v>19.312023353609511</v>
      </c>
      <c r="H82" s="68">
        <f t="shared" si="70"/>
        <v>8.3083214821903955</v>
      </c>
      <c r="I82" s="68">
        <f t="shared" si="70"/>
        <v>140.04745385215622</v>
      </c>
      <c r="J82" s="68">
        <f t="shared" si="70"/>
        <v>18.677831039752721</v>
      </c>
      <c r="K82" s="68">
        <f t="shared" si="70"/>
        <v>17.545466086670178</v>
      </c>
      <c r="L82" s="68">
        <f t="shared" si="70"/>
        <v>3.2776045515444867</v>
      </c>
      <c r="M82" s="68">
        <f t="shared" si="70"/>
        <v>64.335623028485102</v>
      </c>
      <c r="N82" s="68">
        <f t="shared" si="70"/>
        <v>29.588354682284479</v>
      </c>
      <c r="O82" s="68">
        <f t="shared" si="70"/>
        <v>5.0397477674985529</v>
      </c>
      <c r="P82" s="68">
        <f t="shared" si="70"/>
        <v>4.468432089858708</v>
      </c>
      <c r="Q82" s="68">
        <f t="shared" si="70"/>
        <v>47.909937433055276</v>
      </c>
      <c r="R82" s="68">
        <f t="shared" si="70"/>
        <v>19.790870019707686</v>
      </c>
      <c r="S82" s="68">
        <f t="shared" si="70"/>
        <v>10.56063746858603</v>
      </c>
      <c r="T82" s="68">
        <f t="shared" si="70"/>
        <v>9.8338550875821049</v>
      </c>
      <c r="U82" s="68">
        <f t="shared" si="70"/>
        <v>12.700724975953825</v>
      </c>
      <c r="V82" s="68">
        <f t="shared" si="70"/>
        <v>14.998186278070158</v>
      </c>
      <c r="W82" s="68">
        <f t="shared" si="70"/>
        <v>4.3775327216584374</v>
      </c>
      <c r="X82" s="68">
        <f t="shared" si="70"/>
        <v>25.688008790305339</v>
      </c>
      <c r="Y82" s="68">
        <f t="shared" si="70"/>
        <v>29.969607560857806</v>
      </c>
      <c r="Z82" s="68">
        <f t="shared" si="70"/>
        <v>30.757716622901683</v>
      </c>
      <c r="AA82" s="68">
        <f t="shared" si="70"/>
        <v>20.071273468795436</v>
      </c>
      <c r="AB82" s="68">
        <f t="shared" si="70"/>
        <v>8.1225496387389029</v>
      </c>
      <c r="AC82" s="68">
        <f t="shared" si="70"/>
        <v>19.46502788351253</v>
      </c>
      <c r="AD82" s="68">
        <f t="shared" si="70"/>
        <v>3.0391438101010038</v>
      </c>
      <c r="AE82" s="68">
        <f t="shared" si="70"/>
        <v>6.4801643831013571</v>
      </c>
      <c r="AF82" s="68">
        <f t="shared" si="70"/>
        <v>8.7981439452022485</v>
      </c>
      <c r="AG82" s="68">
        <f t="shared" si="70"/>
        <v>5.2497047472121876</v>
      </c>
      <c r="AH82" s="68">
        <f t="shared" si="70"/>
        <v>39.825068457794245</v>
      </c>
      <c r="AI82" s="68">
        <f t="shared" si="70"/>
        <v>6.0739871752464785</v>
      </c>
      <c r="AJ82" s="68">
        <f t="shared" si="70"/>
        <v>85.211307536822005</v>
      </c>
      <c r="AK82" s="68">
        <f t="shared" si="70"/>
        <v>30.063247752125257</v>
      </c>
      <c r="AL82" s="68">
        <f t="shared" si="70"/>
        <v>2.5855146673002443</v>
      </c>
      <c r="AM82" s="68">
        <f t="shared" si="70"/>
        <v>37.117959864504073</v>
      </c>
      <c r="AN82" s="68">
        <f t="shared" si="70"/>
        <v>11.978082785342014</v>
      </c>
      <c r="AO82" s="68">
        <f t="shared" si="70"/>
        <v>12.209470243324272</v>
      </c>
      <c r="AP82" s="68">
        <f t="shared" si="70"/>
        <v>46.986226404733259</v>
      </c>
      <c r="AQ82" s="68">
        <f t="shared" si="70"/>
        <v>4.0145734291774158</v>
      </c>
      <c r="AR82" s="68">
        <f t="shared" si="70"/>
        <v>13.439103064993889</v>
      </c>
      <c r="AS82" s="68">
        <f t="shared" si="70"/>
        <v>2.9386572813755309</v>
      </c>
      <c r="AT82" s="68">
        <f t="shared" si="70"/>
        <v>19.974143949471742</v>
      </c>
      <c r="AU82" s="68">
        <f t="shared" si="70"/>
        <v>85.300134947432298</v>
      </c>
      <c r="AV82" s="68">
        <f t="shared" si="70"/>
        <v>7.9916829420562587</v>
      </c>
      <c r="AW82" s="68">
        <f t="shared" si="70"/>
        <v>2.2273970669250192</v>
      </c>
      <c r="AX82" s="68">
        <f t="shared" si="70"/>
        <v>31.922861926290206</v>
      </c>
      <c r="AY82" s="68">
        <f t="shared" si="70"/>
        <v>25.42999450893311</v>
      </c>
      <c r="AZ82" s="68">
        <f t="shared" si="70"/>
        <v>5.2280139772204706</v>
      </c>
      <c r="BA82" s="68">
        <f t="shared" si="70"/>
        <v>19.555338203118325</v>
      </c>
      <c r="BB82" s="68">
        <f t="shared" si="70"/>
        <v>2.2555871483057772</v>
      </c>
    </row>
    <row r="83" spans="3:54" x14ac:dyDescent="0.2">
      <c r="C83" s="34" t="s">
        <v>231</v>
      </c>
      <c r="D83" s="47">
        <v>2011</v>
      </c>
      <c r="E83" s="68">
        <f t="shared" si="61"/>
        <v>14.37175299839288</v>
      </c>
      <c r="F83" s="68">
        <f t="shared" ref="F83:BB83" si="71">F59*$B45</f>
        <v>2.9831440558474149</v>
      </c>
      <c r="G83" s="68">
        <f t="shared" si="71"/>
        <v>19.635360794402374</v>
      </c>
      <c r="H83" s="68">
        <f t="shared" si="71"/>
        <v>8.5659082369667896</v>
      </c>
      <c r="I83" s="68">
        <f t="shared" si="71"/>
        <v>144.17471065247551</v>
      </c>
      <c r="J83" s="68">
        <f t="shared" si="71"/>
        <v>19.360750031338839</v>
      </c>
      <c r="K83" s="68">
        <f t="shared" si="71"/>
        <v>17.744425481711431</v>
      </c>
      <c r="L83" s="68">
        <f t="shared" si="71"/>
        <v>3.3296283067021446</v>
      </c>
      <c r="M83" s="68">
        <f t="shared" si="71"/>
        <v>65.209382080371157</v>
      </c>
      <c r="N83" s="68">
        <f t="shared" si="71"/>
        <v>30.564801188571256</v>
      </c>
      <c r="O83" s="68">
        <f t="shared" si="71"/>
        <v>5.1474335736432346</v>
      </c>
      <c r="P83" s="68">
        <f t="shared" si="71"/>
        <v>4.5357540932660161</v>
      </c>
      <c r="Q83" s="68">
        <f t="shared" si="71"/>
        <v>48.583198276189613</v>
      </c>
      <c r="R83" s="68">
        <f t="shared" si="71"/>
        <v>20.284394136817451</v>
      </c>
      <c r="S83" s="68">
        <f t="shared" si="71"/>
        <v>11.146338229651361</v>
      </c>
      <c r="T83" s="68">
        <f t="shared" si="71"/>
        <v>10.345645108366879</v>
      </c>
      <c r="U83" s="68">
        <f t="shared" si="71"/>
        <v>12.92102120267146</v>
      </c>
      <c r="V83" s="68">
        <f t="shared" si="71"/>
        <v>15.134359822254062</v>
      </c>
      <c r="W83" s="68">
        <f t="shared" si="71"/>
        <v>4.4243565042414321</v>
      </c>
      <c r="X83" s="68">
        <f t="shared" si="71"/>
        <v>26.210528583475476</v>
      </c>
      <c r="Y83" s="68">
        <f t="shared" si="71"/>
        <v>30.683106591480751</v>
      </c>
      <c r="Z83" s="68">
        <f t="shared" si="71"/>
        <v>31.328536430601993</v>
      </c>
      <c r="AA83" s="68">
        <f t="shared" si="71"/>
        <v>20.672990724204592</v>
      </c>
      <c r="AB83" s="68">
        <f t="shared" si="71"/>
        <v>8.210404863629817</v>
      </c>
      <c r="AC83" s="68">
        <f t="shared" si="71"/>
        <v>19.552420602806396</v>
      </c>
      <c r="AD83" s="68">
        <f t="shared" si="71"/>
        <v>3.1375803395722941</v>
      </c>
      <c r="AE83" s="68">
        <f t="shared" si="71"/>
        <v>6.8883681579829137</v>
      </c>
      <c r="AF83" s="68">
        <f t="shared" si="71"/>
        <v>8.7125538613480096</v>
      </c>
      <c r="AG83" s="68">
        <f t="shared" si="71"/>
        <v>5.3663853289137542</v>
      </c>
      <c r="AH83" s="68">
        <f t="shared" si="71"/>
        <v>40.359568375596041</v>
      </c>
      <c r="AI83" s="68">
        <f t="shared" si="71"/>
        <v>6.1928742060448938</v>
      </c>
      <c r="AJ83" s="68">
        <f t="shared" si="71"/>
        <v>86.717543923313102</v>
      </c>
      <c r="AK83" s="68">
        <f t="shared" si="71"/>
        <v>30.189511438614847</v>
      </c>
      <c r="AL83" s="68">
        <f t="shared" si="71"/>
        <v>2.7694022622561842</v>
      </c>
      <c r="AM83" s="68">
        <f t="shared" si="71"/>
        <v>38.213714456027837</v>
      </c>
      <c r="AN83" s="68">
        <f t="shared" si="71"/>
        <v>12.628070432292496</v>
      </c>
      <c r="AO83" s="68">
        <f t="shared" si="71"/>
        <v>12.50574944017648</v>
      </c>
      <c r="AP83" s="68">
        <f t="shared" si="71"/>
        <v>47.825019727032213</v>
      </c>
      <c r="AQ83" s="68">
        <f t="shared" si="71"/>
        <v>4.0156151599690713</v>
      </c>
      <c r="AR83" s="68">
        <f t="shared" si="71"/>
        <v>13.68314784494326</v>
      </c>
      <c r="AS83" s="68">
        <f t="shared" si="71"/>
        <v>3.1634471890185196</v>
      </c>
      <c r="AT83" s="68">
        <f t="shared" si="71"/>
        <v>20.353194154078825</v>
      </c>
      <c r="AU83" s="68">
        <f t="shared" si="71"/>
        <v>90.24189314517902</v>
      </c>
      <c r="AV83" s="68">
        <f t="shared" si="71"/>
        <v>8.2378715760311714</v>
      </c>
      <c r="AW83" s="68">
        <f t="shared" si="71"/>
        <v>2.3030480353717979</v>
      </c>
      <c r="AX83" s="68">
        <f t="shared" si="71"/>
        <v>32.714225462971811</v>
      </c>
      <c r="AY83" s="68">
        <f t="shared" si="71"/>
        <v>25.960970005731049</v>
      </c>
      <c r="AZ83" s="68">
        <f t="shared" si="71"/>
        <v>5.3737658724083301</v>
      </c>
      <c r="BA83" s="68">
        <f t="shared" si="71"/>
        <v>19.880021280101282</v>
      </c>
      <c r="BB83" s="68">
        <f t="shared" si="71"/>
        <v>2.3915253905149609</v>
      </c>
    </row>
    <row r="84" spans="3:54" x14ac:dyDescent="0.2">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row>
    <row r="85" spans="3:54" x14ac:dyDescent="0.2">
      <c r="E85" s="228">
        <f>SUM(E74:E83)</f>
        <v>155.63805925144854</v>
      </c>
      <c r="F85" s="228">
        <f t="shared" ref="F85:BB85" si="72">SUM(F74:F83)</f>
        <v>29.49476265408682</v>
      </c>
      <c r="G85" s="228">
        <f t="shared" si="72"/>
        <v>211.80899523870298</v>
      </c>
      <c r="H85" s="228">
        <f t="shared" si="72"/>
        <v>89.426632673725337</v>
      </c>
      <c r="I85" s="228">
        <f t="shared" si="72"/>
        <v>1568.4169490675654</v>
      </c>
      <c r="J85" s="228">
        <f t="shared" si="72"/>
        <v>204.30712988748883</v>
      </c>
      <c r="K85" s="228">
        <f t="shared" si="72"/>
        <v>194.58165333984601</v>
      </c>
      <c r="L85" s="228">
        <f t="shared" si="72"/>
        <v>36.503089451924353</v>
      </c>
      <c r="M85" s="228">
        <f t="shared" si="72"/>
        <v>713.15545727083247</v>
      </c>
      <c r="N85" s="228">
        <f t="shared" si="72"/>
        <v>332.08318420653421</v>
      </c>
      <c r="O85" s="228">
        <f t="shared" si="72"/>
        <v>52.945525673685665</v>
      </c>
      <c r="P85" s="228">
        <f t="shared" si="72"/>
        <v>48.658503281411605</v>
      </c>
      <c r="Q85" s="228">
        <f t="shared" si="72"/>
        <v>540.66014736654381</v>
      </c>
      <c r="R85" s="228">
        <f t="shared" si="72"/>
        <v>223.74813673807461</v>
      </c>
      <c r="S85" s="228">
        <f t="shared" si="72"/>
        <v>113.76330253469852</v>
      </c>
      <c r="T85" s="228">
        <f t="shared" si="72"/>
        <v>107.29231264576765</v>
      </c>
      <c r="U85" s="228">
        <f t="shared" si="72"/>
        <v>138.74582703795636</v>
      </c>
      <c r="V85" s="228">
        <f t="shared" si="72"/>
        <v>156.62724368365409</v>
      </c>
      <c r="W85" s="228">
        <f t="shared" si="72"/>
        <v>48.566444450970572</v>
      </c>
      <c r="X85" s="228">
        <f t="shared" si="72"/>
        <v>277.49734324822577</v>
      </c>
      <c r="Y85" s="228">
        <f t="shared" si="72"/>
        <v>328.35347979967111</v>
      </c>
      <c r="Z85" s="228">
        <f t="shared" si="72"/>
        <v>364.2047223590277</v>
      </c>
      <c r="AA85" s="228">
        <f t="shared" si="72"/>
        <v>221.03976254017607</v>
      </c>
      <c r="AB85" s="228">
        <f t="shared" si="72"/>
        <v>87.876091823628954</v>
      </c>
      <c r="AC85" s="228">
        <f t="shared" si="72"/>
        <v>215.55954225318825</v>
      </c>
      <c r="AD85" s="228">
        <f t="shared" si="72"/>
        <v>32.126344866579743</v>
      </c>
      <c r="AE85" s="228">
        <f t="shared" si="72"/>
        <v>70.52763454978539</v>
      </c>
      <c r="AF85" s="228">
        <f t="shared" si="72"/>
        <v>100.1592813961703</v>
      </c>
      <c r="AG85" s="228">
        <f t="shared" si="72"/>
        <v>58.035868537094458</v>
      </c>
      <c r="AH85" s="228">
        <f t="shared" si="72"/>
        <v>443.24330010430265</v>
      </c>
      <c r="AI85" s="228">
        <f t="shared" si="72"/>
        <v>64.412095885095653</v>
      </c>
      <c r="AJ85" s="228">
        <f t="shared" si="72"/>
        <v>916.22769508079682</v>
      </c>
      <c r="AK85" s="228">
        <f t="shared" si="72"/>
        <v>320.82756880468105</v>
      </c>
      <c r="AL85" s="228">
        <f t="shared" si="72"/>
        <v>24.890476461658139</v>
      </c>
      <c r="AM85" s="228">
        <f t="shared" si="72"/>
        <v>423.05825974687724</v>
      </c>
      <c r="AN85" s="228">
        <f t="shared" si="72"/>
        <v>128.0398165333153</v>
      </c>
      <c r="AO85" s="228">
        <f t="shared" si="72"/>
        <v>134.91226182032577</v>
      </c>
      <c r="AP85" s="228">
        <f t="shared" si="72"/>
        <v>512.82373379725379</v>
      </c>
      <c r="AQ85" s="228">
        <f t="shared" si="72"/>
        <v>44.339336970027155</v>
      </c>
      <c r="AR85" s="228">
        <f t="shared" si="72"/>
        <v>144.45950398491081</v>
      </c>
      <c r="AS85" s="228">
        <f t="shared" si="72"/>
        <v>30.456376730958699</v>
      </c>
      <c r="AT85" s="228">
        <f t="shared" si="72"/>
        <v>216.75544642778419</v>
      </c>
      <c r="AU85" s="228">
        <f t="shared" si="72"/>
        <v>887.54957060334561</v>
      </c>
      <c r="AV85" s="228">
        <f t="shared" si="72"/>
        <v>84.477682144268499</v>
      </c>
      <c r="AW85" s="228">
        <f t="shared" si="72"/>
        <v>24.615637636073778</v>
      </c>
      <c r="AX85" s="228">
        <f t="shared" si="72"/>
        <v>342.36384695140043</v>
      </c>
      <c r="AY85" s="228">
        <f t="shared" si="72"/>
        <v>274.46253077830005</v>
      </c>
      <c r="AZ85" s="228">
        <f t="shared" si="72"/>
        <v>56.100987943395445</v>
      </c>
      <c r="BA85" s="228">
        <f t="shared" si="72"/>
        <v>217.06729909656866</v>
      </c>
      <c r="BB85" s="228">
        <f t="shared" si="72"/>
        <v>23.622409825872261</v>
      </c>
    </row>
    <row r="88" spans="3:54" x14ac:dyDescent="0.2">
      <c r="E88" s="32"/>
    </row>
    <row r="89" spans="3:54" x14ac:dyDescent="0.2">
      <c r="E89" s="40"/>
    </row>
    <row r="90" spans="3:54" x14ac:dyDescent="0.2">
      <c r="E90" s="40"/>
    </row>
    <row r="91" spans="3:54" x14ac:dyDescent="0.2">
      <c r="E91" s="126"/>
    </row>
    <row r="92" spans="3:54" x14ac:dyDescent="0.2">
      <c r="E92" s="40"/>
    </row>
    <row r="93" spans="3:54" x14ac:dyDescent="0.2">
      <c r="E93" s="40"/>
    </row>
    <row r="94" spans="3:54" x14ac:dyDescent="0.2">
      <c r="E94" s="40"/>
    </row>
    <row r="95" spans="3:54" x14ac:dyDescent="0.2">
      <c r="E95" s="40"/>
    </row>
    <row r="96" spans="3:54" x14ac:dyDescent="0.2">
      <c r="E96" s="40"/>
    </row>
    <row r="97" spans="5:5" x14ac:dyDescent="0.2">
      <c r="E97" s="40"/>
    </row>
  </sheetData>
  <phoneticPr fontId="103" type="noConversion"/>
  <dataValidations count="1">
    <dataValidation type="list" allowBlank="1" showInputMessage="1" showErrorMessage="1" sqref="C10">
      <formula1>$D$9:$F$9</formula1>
    </dataValidation>
  </dataValidations>
  <pageMargins left="0.75" right="0.75" top="1" bottom="1" header="0.3" footer="0.3"/>
  <pageSetup orientation="portrait"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0"/>
  <sheetViews>
    <sheetView workbookViewId="0">
      <selection activeCell="D6" sqref="D6"/>
    </sheetView>
  </sheetViews>
  <sheetFormatPr baseColWidth="10" defaultColWidth="8.83203125" defaultRowHeight="16" x14ac:dyDescent="0.2"/>
  <cols>
    <col min="2" max="2" width="6.1640625" customWidth="1"/>
    <col min="3" max="3" width="37.1640625" customWidth="1"/>
    <col min="4" max="4" width="18" customWidth="1"/>
    <col min="5" max="5" width="12.6640625" bestFit="1" customWidth="1"/>
    <col min="6" max="6" width="11.6640625" bestFit="1" customWidth="1"/>
    <col min="7" max="7" width="12.6640625" bestFit="1" customWidth="1"/>
    <col min="8" max="8" width="11.6640625" bestFit="1" customWidth="1"/>
    <col min="9" max="9" width="13.83203125" bestFit="1" customWidth="1"/>
    <col min="10" max="11" width="12.6640625" bestFit="1" customWidth="1"/>
    <col min="12" max="12" width="11.6640625" bestFit="1" customWidth="1"/>
    <col min="13" max="14" width="12.6640625" bestFit="1" customWidth="1"/>
    <col min="15" max="16" width="11.6640625" bestFit="1" customWidth="1"/>
    <col min="17" max="22" width="12.6640625" bestFit="1" customWidth="1"/>
    <col min="23" max="23" width="11.6640625" bestFit="1" customWidth="1"/>
    <col min="24" max="27" width="12.6640625" bestFit="1" customWidth="1"/>
    <col min="28" max="28" width="11.6640625" bestFit="1" customWidth="1"/>
    <col min="29" max="29" width="12.6640625" bestFit="1" customWidth="1"/>
    <col min="30" max="33" width="11.6640625" bestFit="1" customWidth="1"/>
    <col min="34" max="34" width="12.6640625" bestFit="1" customWidth="1"/>
    <col min="35" max="35" width="11.6640625" bestFit="1" customWidth="1"/>
    <col min="36" max="37" width="12.6640625" bestFit="1" customWidth="1"/>
    <col min="38" max="38" width="11.6640625" bestFit="1" customWidth="1"/>
    <col min="39" max="42" width="12.6640625" bestFit="1" customWidth="1"/>
    <col min="43" max="43" width="11.6640625" bestFit="1" customWidth="1"/>
    <col min="44" max="44" width="12.6640625" bestFit="1" customWidth="1"/>
    <col min="45" max="45" width="11.6640625" bestFit="1" customWidth="1"/>
    <col min="46" max="47" width="12.6640625" bestFit="1" customWidth="1"/>
    <col min="48" max="49" width="11.6640625" bestFit="1" customWidth="1"/>
    <col min="50" max="51" width="12.6640625" bestFit="1" customWidth="1"/>
    <col min="52" max="52" width="11.6640625" bestFit="1" customWidth="1"/>
    <col min="53" max="53" width="12.6640625" bestFit="1" customWidth="1"/>
    <col min="54" max="54" width="11.6640625" bestFit="1" customWidth="1"/>
  </cols>
  <sheetData>
    <row r="1" spans="1:57" x14ac:dyDescent="0.2">
      <c r="A1" s="415" t="s">
        <v>957</v>
      </c>
      <c r="B1" s="20"/>
      <c r="C1" s="32">
        <v>2011</v>
      </c>
      <c r="D1" s="220"/>
      <c r="E1" s="3">
        <v>1</v>
      </c>
      <c r="F1" s="3">
        <f>E1+1</f>
        <v>2</v>
      </c>
      <c r="G1" s="3">
        <f t="shared" ref="G1:L1" si="0">F1+1</f>
        <v>3</v>
      </c>
      <c r="H1" s="3">
        <f t="shared" si="0"/>
        <v>4</v>
      </c>
      <c r="I1" s="3">
        <f t="shared" si="0"/>
        <v>5</v>
      </c>
      <c r="J1" s="3">
        <f t="shared" si="0"/>
        <v>6</v>
      </c>
      <c r="K1" s="3">
        <f t="shared" si="0"/>
        <v>7</v>
      </c>
      <c r="L1" s="3">
        <f t="shared" si="0"/>
        <v>8</v>
      </c>
      <c r="M1" s="3">
        <f t="shared" ref="M1" si="1">L1+1</f>
        <v>9</v>
      </c>
      <c r="N1" s="3">
        <f t="shared" ref="N1" si="2">M1+1</f>
        <v>10</v>
      </c>
      <c r="O1" s="3">
        <f t="shared" ref="O1" si="3">N1+1</f>
        <v>11</v>
      </c>
      <c r="P1" s="3">
        <f t="shared" ref="P1" si="4">O1+1</f>
        <v>12</v>
      </c>
      <c r="Q1" s="3">
        <f t="shared" ref="Q1" si="5">P1+1</f>
        <v>13</v>
      </c>
      <c r="R1" s="3">
        <f t="shared" ref="R1" si="6">Q1+1</f>
        <v>14</v>
      </c>
      <c r="S1" s="3">
        <f t="shared" ref="S1" si="7">R1+1</f>
        <v>15</v>
      </c>
      <c r="T1" s="3">
        <f t="shared" ref="T1" si="8">S1+1</f>
        <v>16</v>
      </c>
      <c r="U1" s="3">
        <f t="shared" ref="U1" si="9">T1+1</f>
        <v>17</v>
      </c>
      <c r="V1" s="3">
        <f t="shared" ref="V1" si="10">U1+1</f>
        <v>18</v>
      </c>
      <c r="W1" s="3">
        <f t="shared" ref="W1" si="11">V1+1</f>
        <v>19</v>
      </c>
      <c r="X1" s="3">
        <f t="shared" ref="X1" si="12">W1+1</f>
        <v>20</v>
      </c>
      <c r="Y1" s="3">
        <f t="shared" ref="Y1" si="13">X1+1</f>
        <v>21</v>
      </c>
      <c r="Z1" s="3">
        <f t="shared" ref="Z1" si="14">Y1+1</f>
        <v>22</v>
      </c>
      <c r="AA1" s="3">
        <f t="shared" ref="AA1" si="15">Z1+1</f>
        <v>23</v>
      </c>
      <c r="AB1" s="3">
        <f t="shared" ref="AB1" si="16">AA1+1</f>
        <v>24</v>
      </c>
      <c r="AC1" s="3">
        <f t="shared" ref="AC1" si="17">AB1+1</f>
        <v>25</v>
      </c>
      <c r="AD1" s="3">
        <f t="shared" ref="AD1" si="18">AC1+1</f>
        <v>26</v>
      </c>
      <c r="AE1" s="3">
        <f t="shared" ref="AE1" si="19">AD1+1</f>
        <v>27</v>
      </c>
      <c r="AF1" s="3">
        <f t="shared" ref="AF1" si="20">AE1+1</f>
        <v>28</v>
      </c>
      <c r="AG1" s="3">
        <f t="shared" ref="AG1" si="21">AF1+1</f>
        <v>29</v>
      </c>
      <c r="AH1" s="3">
        <f t="shared" ref="AH1" si="22">AG1+1</f>
        <v>30</v>
      </c>
      <c r="AI1" s="3">
        <f t="shared" ref="AI1" si="23">AH1+1</f>
        <v>31</v>
      </c>
      <c r="AJ1" s="3">
        <f t="shared" ref="AJ1" si="24">AI1+1</f>
        <v>32</v>
      </c>
      <c r="AK1" s="3">
        <f t="shared" ref="AK1" si="25">AJ1+1</f>
        <v>33</v>
      </c>
      <c r="AL1" s="3">
        <f t="shared" ref="AL1" si="26">AK1+1</f>
        <v>34</v>
      </c>
      <c r="AM1" s="3">
        <f t="shared" ref="AM1" si="27">AL1+1</f>
        <v>35</v>
      </c>
      <c r="AN1" s="3">
        <f t="shared" ref="AN1" si="28">AM1+1</f>
        <v>36</v>
      </c>
      <c r="AO1" s="3">
        <f t="shared" ref="AO1" si="29">AN1+1</f>
        <v>37</v>
      </c>
      <c r="AP1" s="3">
        <f t="shared" ref="AP1" si="30">AO1+1</f>
        <v>38</v>
      </c>
      <c r="AQ1" s="3">
        <f t="shared" ref="AQ1" si="31">AP1+1</f>
        <v>39</v>
      </c>
      <c r="AR1" s="3">
        <f t="shared" ref="AR1" si="32">AQ1+1</f>
        <v>40</v>
      </c>
      <c r="AS1" s="3">
        <f t="shared" ref="AS1" si="33">AR1+1</f>
        <v>41</v>
      </c>
      <c r="AT1" s="3">
        <f t="shared" ref="AT1" si="34">AS1+1</f>
        <v>42</v>
      </c>
      <c r="AU1" s="3">
        <f t="shared" ref="AU1" si="35">AT1+1</f>
        <v>43</v>
      </c>
      <c r="AV1" s="3">
        <f t="shared" ref="AV1" si="36">AU1+1</f>
        <v>44</v>
      </c>
      <c r="AW1" s="3">
        <f t="shared" ref="AW1" si="37">AV1+1</f>
        <v>45</v>
      </c>
      <c r="AX1" s="3">
        <f t="shared" ref="AX1" si="38">AW1+1</f>
        <v>46</v>
      </c>
      <c r="AY1" s="3">
        <f t="shared" ref="AY1" si="39">AX1+1</f>
        <v>47</v>
      </c>
      <c r="AZ1" s="3">
        <f t="shared" ref="AZ1" si="40">AY1+1</f>
        <v>48</v>
      </c>
      <c r="BA1" s="3">
        <f t="shared" ref="BA1" si="41">AZ1+1</f>
        <v>49</v>
      </c>
      <c r="BB1" s="3">
        <f t="shared" ref="BB1" si="42">BA1+1</f>
        <v>50</v>
      </c>
      <c r="BC1" s="3"/>
      <c r="BD1" s="2"/>
    </row>
    <row r="2" spans="1:57" s="38" customFormat="1" x14ac:dyDescent="0.2">
      <c r="A2" s="415" t="s">
        <v>960</v>
      </c>
      <c r="D2" s="226" t="s">
        <v>95</v>
      </c>
      <c r="E2" s="25" t="s">
        <v>144</v>
      </c>
      <c r="F2" s="25" t="s">
        <v>145</v>
      </c>
      <c r="G2" s="25" t="s">
        <v>146</v>
      </c>
      <c r="H2" s="25" t="s">
        <v>147</v>
      </c>
      <c r="I2" s="25" t="s">
        <v>148</v>
      </c>
      <c r="J2" s="25" t="s">
        <v>149</v>
      </c>
      <c r="K2" s="25" t="s">
        <v>150</v>
      </c>
      <c r="L2" s="25" t="s">
        <v>151</v>
      </c>
      <c r="M2" s="25" t="s">
        <v>152</v>
      </c>
      <c r="N2" s="25" t="s">
        <v>153</v>
      </c>
      <c r="O2" s="25" t="s">
        <v>154</v>
      </c>
      <c r="P2" s="25" t="s">
        <v>155</v>
      </c>
      <c r="Q2" s="25" t="s">
        <v>156</v>
      </c>
      <c r="R2" s="25" t="s">
        <v>2</v>
      </c>
      <c r="S2" s="25" t="s">
        <v>3</v>
      </c>
      <c r="T2" s="25" t="s">
        <v>4</v>
      </c>
      <c r="U2" s="25" t="s">
        <v>5</v>
      </c>
      <c r="V2" s="25" t="s">
        <v>6</v>
      </c>
      <c r="W2" s="25" t="s">
        <v>7</v>
      </c>
      <c r="X2" s="25" t="s">
        <v>8</v>
      </c>
      <c r="Y2" s="25" t="s">
        <v>9</v>
      </c>
      <c r="Z2" s="25" t="s">
        <v>10</v>
      </c>
      <c r="AA2" s="25" t="s">
        <v>11</v>
      </c>
      <c r="AB2" s="25" t="s">
        <v>12</v>
      </c>
      <c r="AC2" s="25" t="s">
        <v>13</v>
      </c>
      <c r="AD2" s="25" t="s">
        <v>14</v>
      </c>
      <c r="AE2" s="25" t="s">
        <v>15</v>
      </c>
      <c r="AF2" s="25" t="s">
        <v>16</v>
      </c>
      <c r="AG2" s="25" t="s">
        <v>17</v>
      </c>
      <c r="AH2" s="25" t="s">
        <v>18</v>
      </c>
      <c r="AI2" s="25" t="s">
        <v>19</v>
      </c>
      <c r="AJ2" s="25" t="s">
        <v>20</v>
      </c>
      <c r="AK2" s="25" t="s">
        <v>21</v>
      </c>
      <c r="AL2" s="25" t="s">
        <v>22</v>
      </c>
      <c r="AM2" s="25" t="s">
        <v>23</v>
      </c>
      <c r="AN2" s="25" t="s">
        <v>24</v>
      </c>
      <c r="AO2" s="25" t="s">
        <v>25</v>
      </c>
      <c r="AP2" s="25" t="s">
        <v>26</v>
      </c>
      <c r="AQ2" s="25" t="s">
        <v>27</v>
      </c>
      <c r="AR2" s="25" t="s">
        <v>28</v>
      </c>
      <c r="AS2" s="25" t="s">
        <v>29</v>
      </c>
      <c r="AT2" s="25" t="s">
        <v>30</v>
      </c>
      <c r="AU2" s="25" t="s">
        <v>31</v>
      </c>
      <c r="AV2" s="25" t="s">
        <v>32</v>
      </c>
      <c r="AW2" s="25" t="s">
        <v>33</v>
      </c>
      <c r="AX2" s="25" t="s">
        <v>34</v>
      </c>
      <c r="AY2" s="25" t="s">
        <v>35</v>
      </c>
      <c r="AZ2" s="25" t="s">
        <v>36</v>
      </c>
      <c r="BA2" s="25" t="s">
        <v>37</v>
      </c>
      <c r="BB2" s="25" t="s">
        <v>38</v>
      </c>
      <c r="BC2" s="26" t="s">
        <v>97</v>
      </c>
      <c r="BD2" s="26" t="s">
        <v>92</v>
      </c>
      <c r="BE2" s="27" t="s">
        <v>132</v>
      </c>
    </row>
    <row r="3" spans="1:57" x14ac:dyDescent="0.2">
      <c r="A3" s="415" t="s">
        <v>958</v>
      </c>
      <c r="D3" s="226" t="s">
        <v>96</v>
      </c>
      <c r="E3" s="26" t="s">
        <v>39</v>
      </c>
      <c r="F3" s="26" t="s">
        <v>40</v>
      </c>
      <c r="G3" s="26" t="s">
        <v>41</v>
      </c>
      <c r="H3" s="26" t="s">
        <v>42</v>
      </c>
      <c r="I3" s="26" t="s">
        <v>43</v>
      </c>
      <c r="J3" s="26" t="s">
        <v>44</v>
      </c>
      <c r="K3" s="26" t="s">
        <v>45</v>
      </c>
      <c r="L3" s="26" t="s">
        <v>46</v>
      </c>
      <c r="M3" s="26" t="s">
        <v>47</v>
      </c>
      <c r="N3" s="26" t="s">
        <v>48</v>
      </c>
      <c r="O3" s="26" t="s">
        <v>49</v>
      </c>
      <c r="P3" s="26" t="s">
        <v>50</v>
      </c>
      <c r="Q3" s="26" t="s">
        <v>51</v>
      </c>
      <c r="R3" s="26" t="s">
        <v>52</v>
      </c>
      <c r="S3" s="26" t="s">
        <v>53</v>
      </c>
      <c r="T3" s="26" t="s">
        <v>54</v>
      </c>
      <c r="U3" s="26" t="s">
        <v>55</v>
      </c>
      <c r="V3" s="26" t="s">
        <v>56</v>
      </c>
      <c r="W3" s="26" t="s">
        <v>57</v>
      </c>
      <c r="X3" s="26" t="s">
        <v>58</v>
      </c>
      <c r="Y3" s="26" t="s">
        <v>59</v>
      </c>
      <c r="Z3" s="26" t="s">
        <v>60</v>
      </c>
      <c r="AA3" s="26" t="s">
        <v>61</v>
      </c>
      <c r="AB3" s="26" t="s">
        <v>62</v>
      </c>
      <c r="AC3" s="26" t="s">
        <v>63</v>
      </c>
      <c r="AD3" s="26" t="s">
        <v>64</v>
      </c>
      <c r="AE3" s="26" t="s">
        <v>65</v>
      </c>
      <c r="AF3" s="26" t="s">
        <v>66</v>
      </c>
      <c r="AG3" s="26" t="s">
        <v>67</v>
      </c>
      <c r="AH3" s="26" t="s">
        <v>68</v>
      </c>
      <c r="AI3" s="26" t="s">
        <v>69</v>
      </c>
      <c r="AJ3" s="26" t="s">
        <v>70</v>
      </c>
      <c r="AK3" s="26" t="s">
        <v>71</v>
      </c>
      <c r="AL3" s="26" t="s">
        <v>72</v>
      </c>
      <c r="AM3" s="26" t="s">
        <v>73</v>
      </c>
      <c r="AN3" s="26" t="s">
        <v>74</v>
      </c>
      <c r="AO3" s="26" t="s">
        <v>75</v>
      </c>
      <c r="AP3" s="26" t="s">
        <v>76</v>
      </c>
      <c r="AQ3" s="26" t="s">
        <v>77</v>
      </c>
      <c r="AR3" s="26" t="s">
        <v>78</v>
      </c>
      <c r="AS3" s="26" t="s">
        <v>79</v>
      </c>
      <c r="AT3" s="26" t="s">
        <v>80</v>
      </c>
      <c r="AU3" s="26" t="s">
        <v>81</v>
      </c>
      <c r="AV3" s="26" t="s">
        <v>82</v>
      </c>
      <c r="AW3" s="26" t="s">
        <v>83</v>
      </c>
      <c r="AX3" s="26" t="s">
        <v>84</v>
      </c>
      <c r="AY3" s="26" t="s">
        <v>85</v>
      </c>
      <c r="AZ3" s="26" t="s">
        <v>86</v>
      </c>
      <c r="BA3" s="26" t="s">
        <v>87</v>
      </c>
      <c r="BB3" s="26" t="s">
        <v>88</v>
      </c>
      <c r="BC3" s="26"/>
      <c r="BD3" s="26"/>
      <c r="BE3" s="27"/>
    </row>
    <row r="4" spans="1:57" x14ac:dyDescent="0.2">
      <c r="A4" s="415" t="s">
        <v>959</v>
      </c>
      <c r="B4">
        <v>1</v>
      </c>
      <c r="C4" s="243" t="s">
        <v>1008</v>
      </c>
      <c r="D4" s="245">
        <f>SUM(E4:BB4)</f>
        <v>1124.9454196355707</v>
      </c>
      <c r="E4" s="244">
        <f t="shared" ref="E4:AI4" si="43">PersonalIncome2011*IF(CDCostCase=$E$6,$F$6,IF(CDCostCase=$E$7,$F$7,IF(CDCostCase=$E$8,$F$8)))</f>
        <v>14.37175299839288</v>
      </c>
      <c r="F4" s="244">
        <f t="shared" si="43"/>
        <v>2.9831440558474149</v>
      </c>
      <c r="G4" s="244">
        <f t="shared" si="43"/>
        <v>19.635360794402374</v>
      </c>
      <c r="H4" s="244">
        <f t="shared" si="43"/>
        <v>8.5659082369667896</v>
      </c>
      <c r="I4" s="244">
        <f t="shared" si="43"/>
        <v>144.17471065247551</v>
      </c>
      <c r="J4" s="244">
        <f t="shared" si="43"/>
        <v>19.360750031338839</v>
      </c>
      <c r="K4" s="244">
        <f t="shared" si="43"/>
        <v>17.744425481711431</v>
      </c>
      <c r="L4" s="244">
        <f t="shared" si="43"/>
        <v>3.3296283067021446</v>
      </c>
      <c r="M4" s="244">
        <f t="shared" si="43"/>
        <v>65.209382080371157</v>
      </c>
      <c r="N4" s="244">
        <f t="shared" si="43"/>
        <v>30.564801188571256</v>
      </c>
      <c r="O4" s="244">
        <f t="shared" si="43"/>
        <v>5.1474335736432346</v>
      </c>
      <c r="P4" s="244">
        <f t="shared" si="43"/>
        <v>4.5357540932660161</v>
      </c>
      <c r="Q4" s="244">
        <f t="shared" si="43"/>
        <v>48.583198276189613</v>
      </c>
      <c r="R4" s="244">
        <f t="shared" si="43"/>
        <v>20.284394136817451</v>
      </c>
      <c r="S4" s="244">
        <f t="shared" si="43"/>
        <v>11.146338229651361</v>
      </c>
      <c r="T4" s="244">
        <f t="shared" si="43"/>
        <v>10.345645108366879</v>
      </c>
      <c r="U4" s="244">
        <f t="shared" si="43"/>
        <v>12.92102120267146</v>
      </c>
      <c r="V4" s="244">
        <f t="shared" si="43"/>
        <v>15.134359822254062</v>
      </c>
      <c r="W4" s="244">
        <f t="shared" si="43"/>
        <v>4.4243565042414321</v>
      </c>
      <c r="X4" s="244">
        <f t="shared" si="43"/>
        <v>26.210528583475476</v>
      </c>
      <c r="Y4" s="244">
        <f t="shared" si="43"/>
        <v>30.683106591480751</v>
      </c>
      <c r="Z4" s="244">
        <f t="shared" si="43"/>
        <v>31.328536430601993</v>
      </c>
      <c r="AA4" s="244">
        <f t="shared" si="43"/>
        <v>20.672990724204592</v>
      </c>
      <c r="AB4" s="244">
        <f t="shared" si="43"/>
        <v>8.210404863629817</v>
      </c>
      <c r="AC4" s="244">
        <f t="shared" si="43"/>
        <v>19.552420602806396</v>
      </c>
      <c r="AD4" s="244">
        <f t="shared" si="43"/>
        <v>3.1375803395722941</v>
      </c>
      <c r="AE4" s="244">
        <f t="shared" si="43"/>
        <v>6.8883681579829137</v>
      </c>
      <c r="AF4" s="244">
        <f t="shared" si="43"/>
        <v>8.7125538613480096</v>
      </c>
      <c r="AG4" s="244">
        <f t="shared" si="43"/>
        <v>5.3663853289137542</v>
      </c>
      <c r="AH4" s="244">
        <f t="shared" si="43"/>
        <v>40.359568375596041</v>
      </c>
      <c r="AI4" s="244">
        <f t="shared" si="43"/>
        <v>6.1928742060448938</v>
      </c>
      <c r="AJ4" s="244">
        <f t="shared" ref="AJ4:BB4" si="44">PersonalIncome2011*IF(CDCostCase=$E$6,$F$6,IF(CDCostCase=$E$7,$F$7,IF(CDCostCase=$E$8,$F$8)))</f>
        <v>86.717543923313102</v>
      </c>
      <c r="AK4" s="244">
        <f t="shared" si="44"/>
        <v>30.189511438614847</v>
      </c>
      <c r="AL4" s="244">
        <f t="shared" si="44"/>
        <v>2.7694022622561842</v>
      </c>
      <c r="AM4" s="244">
        <f t="shared" si="44"/>
        <v>38.213714456027837</v>
      </c>
      <c r="AN4" s="244">
        <f t="shared" si="44"/>
        <v>12.628070432292496</v>
      </c>
      <c r="AO4" s="244">
        <f t="shared" si="44"/>
        <v>12.50574944017648</v>
      </c>
      <c r="AP4" s="244">
        <f t="shared" si="44"/>
        <v>47.825019727032213</v>
      </c>
      <c r="AQ4" s="244">
        <f t="shared" si="44"/>
        <v>4.0156151599690713</v>
      </c>
      <c r="AR4" s="244">
        <f t="shared" si="44"/>
        <v>13.68314784494326</v>
      </c>
      <c r="AS4" s="244">
        <f t="shared" si="44"/>
        <v>3.1634471890185196</v>
      </c>
      <c r="AT4" s="244">
        <f t="shared" si="44"/>
        <v>20.353194154078825</v>
      </c>
      <c r="AU4" s="244">
        <f t="shared" si="44"/>
        <v>90.24189314517902</v>
      </c>
      <c r="AV4" s="244">
        <f t="shared" si="44"/>
        <v>8.2378715760311714</v>
      </c>
      <c r="AW4" s="244">
        <f t="shared" si="44"/>
        <v>2.3030480353717979</v>
      </c>
      <c r="AX4" s="244">
        <f t="shared" si="44"/>
        <v>32.714225462971811</v>
      </c>
      <c r="AY4" s="244">
        <f t="shared" si="44"/>
        <v>25.960970005731049</v>
      </c>
      <c r="AZ4" s="244">
        <f t="shared" si="44"/>
        <v>5.3737658724083301</v>
      </c>
      <c r="BA4" s="244">
        <f t="shared" si="44"/>
        <v>19.880021280101282</v>
      </c>
      <c r="BB4" s="244">
        <f t="shared" si="44"/>
        <v>2.3915253905149609</v>
      </c>
      <c r="BD4" t="s">
        <v>233</v>
      </c>
      <c r="BE4" t="s">
        <v>234</v>
      </c>
    </row>
    <row r="5" spans="1:57" x14ac:dyDescent="0.2">
      <c r="A5" s="415" t="s">
        <v>961</v>
      </c>
    </row>
    <row r="6" spans="1:57" x14ac:dyDescent="0.2">
      <c r="C6" s="412" t="s">
        <v>950</v>
      </c>
      <c r="D6" s="404" t="s">
        <v>949</v>
      </c>
      <c r="E6" s="126" t="s">
        <v>949</v>
      </c>
      <c r="F6" s="413">
        <f>'Benefit of Consumer Durables'!L24</f>
        <v>8.5654939240256842E-2</v>
      </c>
      <c r="G6" t="s">
        <v>954</v>
      </c>
    </row>
    <row r="7" spans="1:57" x14ac:dyDescent="0.2">
      <c r="E7" s="412" t="s">
        <v>955</v>
      </c>
      <c r="F7" s="414">
        <v>0.06</v>
      </c>
      <c r="G7" t="s">
        <v>954</v>
      </c>
    </row>
    <row r="8" spans="1:57" x14ac:dyDescent="0.2">
      <c r="E8" s="412" t="s">
        <v>956</v>
      </c>
      <c r="F8" s="414">
        <v>0.105</v>
      </c>
      <c r="G8" t="s">
        <v>954</v>
      </c>
    </row>
    <row r="9" spans="1:57" x14ac:dyDescent="0.2">
      <c r="C9" s="59" t="s">
        <v>579</v>
      </c>
    </row>
    <row r="10" spans="1:57" x14ac:dyDescent="0.2">
      <c r="B10">
        <v>1</v>
      </c>
      <c r="C10" t="s">
        <v>627</v>
      </c>
    </row>
  </sheetData>
  <phoneticPr fontId="103" type="noConversion"/>
  <dataValidations count="1">
    <dataValidation type="list" allowBlank="1" showInputMessage="1" showErrorMessage="1" sqref="D6">
      <formula1>$E$6:$E$8</formula1>
    </dataValidation>
  </dataValidations>
  <pageMargins left="0.75" right="0.75" top="1" bottom="1"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30</vt:i4>
      </vt:variant>
    </vt:vector>
  </HeadingPairs>
  <TitlesOfParts>
    <vt:vector size="30" baseType="lpstr">
      <vt:lpstr>GPI Summary</vt:lpstr>
      <vt:lpstr>GPI Rank v GSP Rank</vt:lpstr>
      <vt:lpstr>GPI Summary Per Capita</vt:lpstr>
      <vt:lpstr>GPI Per Capita Graphs</vt:lpstr>
      <vt:lpstr>US GPI Pie Charts</vt:lpstr>
      <vt:lpstr>Benefit of PCE</vt:lpstr>
      <vt:lpstr>Cost of Inequality</vt:lpstr>
      <vt:lpstr>Benefit of Consumer Durables</vt:lpstr>
      <vt:lpstr>Cost Consumer Durables</vt:lpstr>
      <vt:lpstr>Cost Underemployment</vt:lpstr>
      <vt:lpstr>Benefit Net Cap Invest</vt:lpstr>
      <vt:lpstr>Cost Water Pollution</vt:lpstr>
      <vt:lpstr>Cost Air Pollution</vt:lpstr>
      <vt:lpstr>Cost Noise Pollution</vt:lpstr>
      <vt:lpstr>Cost Wetland Change</vt:lpstr>
      <vt:lpstr>Cost Net Farmland Change</vt:lpstr>
      <vt:lpstr>Cost Net Forest Change</vt:lpstr>
      <vt:lpstr>Cost Climate Change</vt:lpstr>
      <vt:lpstr>Cost Ozone Depletion</vt:lpstr>
      <vt:lpstr>Cost Nonrenewable Depletion</vt:lpstr>
      <vt:lpstr>Value Housework</vt:lpstr>
      <vt:lpstr>Cost Family Breakdown</vt:lpstr>
      <vt:lpstr>Cost Crime</vt:lpstr>
      <vt:lpstr>Cost Personal Pollution Abate</vt:lpstr>
      <vt:lpstr>Value Volunteer Work</vt:lpstr>
      <vt:lpstr>Cost Lost Leisure</vt:lpstr>
      <vt:lpstr>Value Higher Ed</vt:lpstr>
      <vt:lpstr>Services Highway Streets</vt:lpstr>
      <vt:lpstr>Cost Commuting</vt:lpstr>
      <vt:lpstr>Cost Motor Vehicle Crashes</vt:lpstr>
    </vt:vector>
  </TitlesOfParts>
  <Company>University of Vermont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Erickson</dc:creator>
  <cp:lastModifiedBy>Microsoft Office User</cp:lastModifiedBy>
  <cp:lastPrinted>2018-01-05T19:23:40Z</cp:lastPrinted>
  <dcterms:created xsi:type="dcterms:W3CDTF">2014-01-15T01:14:14Z</dcterms:created>
  <dcterms:modified xsi:type="dcterms:W3CDTF">2018-01-05T19:25:16Z</dcterms:modified>
</cp:coreProperties>
</file>